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rtin\Desktop\"/>
    </mc:Choice>
  </mc:AlternateContent>
  <xr:revisionPtr revIDLastSave="0" documentId="13_ncr:1_{703C26E3-D0BB-47ED-ADE0-2C65EA8BBCC9}" xr6:coauthVersionLast="45" xr6:coauthVersionMax="45" xr10:uidLastSave="{00000000-0000-0000-0000-000000000000}"/>
  <bookViews>
    <workbookView xWindow="-120" yWindow="-120" windowWidth="20730" windowHeight="11160" xr2:uid="{ABD8E646-D793-439D-8D5B-CEA244D0DF58}"/>
  </bookViews>
  <sheets>
    <sheet name="Wasserwerte" sheetId="1" r:id="rId1"/>
    <sheet name="Rechner" sheetId="2" r:id="rId2"/>
    <sheet name="Düngertabelle" sheetId="3" r:id="rId3"/>
    <sheet name="Überprüfer" sheetId="4" r:id="rId4"/>
    <sheet name="Säuremischer" sheetId="5" r:id="rId5"/>
    <sheet name="Schemen" sheetId="7" r:id="rId6"/>
    <sheet name="Wissenswertes" sheetId="6"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6" i="4" l="1"/>
  <c r="C2" i="7" l="1"/>
  <c r="E2" i="7"/>
  <c r="F2" i="7"/>
  <c r="G2" i="7"/>
  <c r="H2" i="7"/>
  <c r="I2" i="7"/>
  <c r="J2" i="7"/>
  <c r="K2" i="7"/>
  <c r="L2" i="7"/>
  <c r="M2" i="7"/>
  <c r="N2" i="7"/>
  <c r="O2" i="7"/>
  <c r="P2" i="7"/>
  <c r="Q2" i="7"/>
  <c r="R2" i="7"/>
  <c r="S2" i="7"/>
  <c r="I34" i="4"/>
  <c r="I24" i="4"/>
  <c r="Y27" i="2" l="1"/>
  <c r="M68" i="1" l="1"/>
  <c r="K15" i="6" l="1"/>
  <c r="L15" i="6" s="1"/>
  <c r="M15" i="6" s="1"/>
  <c r="L14" i="6"/>
  <c r="M14" i="6" s="1"/>
  <c r="K14" i="6"/>
  <c r="K13" i="6"/>
  <c r="L13" i="6" s="1"/>
  <c r="M13" i="6" s="1"/>
  <c r="K12" i="6"/>
  <c r="L12" i="6" s="1"/>
  <c r="M12" i="6" s="1"/>
  <c r="K11" i="6"/>
  <c r="L11" i="6" s="1"/>
  <c r="M11" i="6" s="1"/>
  <c r="U52" i="2" l="1"/>
  <c r="V52" i="2"/>
  <c r="U51" i="2"/>
  <c r="V51" i="2"/>
  <c r="F51" i="2"/>
  <c r="S16" i="1"/>
  <c r="C10" i="4" l="1"/>
  <c r="F52" i="2" l="1"/>
  <c r="G52" i="2"/>
  <c r="H52" i="2"/>
  <c r="O52" i="2"/>
  <c r="P52" i="2"/>
  <c r="H51" i="2"/>
  <c r="S52" i="2"/>
  <c r="C5" i="4"/>
  <c r="I26" i="4"/>
  <c r="C17" i="4"/>
  <c r="D17" i="4"/>
  <c r="E17" i="4"/>
  <c r="F17" i="4"/>
  <c r="G17" i="4"/>
  <c r="H17" i="4"/>
  <c r="I17" i="4"/>
  <c r="J17" i="4"/>
  <c r="K17" i="4"/>
  <c r="L17" i="4"/>
  <c r="M17" i="4"/>
  <c r="N17" i="4"/>
  <c r="O17" i="4"/>
  <c r="P17" i="4"/>
  <c r="Q17" i="4"/>
  <c r="R17" i="4"/>
  <c r="S17" i="4"/>
  <c r="J11" i="4"/>
  <c r="K11" i="4"/>
  <c r="L11" i="4"/>
  <c r="M11" i="4"/>
  <c r="N11" i="4"/>
  <c r="O11" i="4"/>
  <c r="Q11" i="4"/>
  <c r="R11" i="4"/>
  <c r="D10" i="4"/>
  <c r="E10" i="4"/>
  <c r="F10" i="4"/>
  <c r="G10" i="4"/>
  <c r="H10" i="4"/>
  <c r="I10" i="4"/>
  <c r="J10" i="4"/>
  <c r="K10" i="4"/>
  <c r="L10" i="4"/>
  <c r="M10" i="4"/>
  <c r="N10" i="4"/>
  <c r="O10" i="4"/>
  <c r="P10" i="4"/>
  <c r="Q10" i="4"/>
  <c r="R10" i="4"/>
  <c r="S10" i="4"/>
  <c r="I52" i="2"/>
  <c r="J52" i="2"/>
  <c r="K52" i="2"/>
  <c r="L52" i="2"/>
  <c r="M52" i="2"/>
  <c r="N52" i="2"/>
  <c r="Q52" i="2"/>
  <c r="R52" i="2"/>
  <c r="T52" i="2"/>
  <c r="G51" i="2"/>
  <c r="I51" i="2"/>
  <c r="J51" i="2"/>
  <c r="K51" i="2"/>
  <c r="L51" i="2"/>
  <c r="M51" i="2"/>
  <c r="N51" i="2"/>
  <c r="O51" i="2"/>
  <c r="P51" i="2"/>
  <c r="Q51" i="2"/>
  <c r="R51" i="2"/>
  <c r="S51" i="2"/>
  <c r="T51" i="2"/>
  <c r="G37" i="2"/>
  <c r="H37" i="2"/>
  <c r="I37" i="2"/>
  <c r="J37" i="2"/>
  <c r="K37" i="2"/>
  <c r="L37" i="2"/>
  <c r="M37" i="2"/>
  <c r="N37" i="2"/>
  <c r="O37" i="2"/>
  <c r="P37" i="2"/>
  <c r="Q37" i="2"/>
  <c r="R37" i="2"/>
  <c r="S37" i="2"/>
  <c r="T37" i="2"/>
  <c r="U37" i="2"/>
  <c r="V37" i="2"/>
  <c r="F37" i="2"/>
  <c r="M39" i="2"/>
  <c r="N39" i="2"/>
  <c r="O39" i="2"/>
  <c r="P39" i="2"/>
  <c r="Q39" i="2"/>
  <c r="R39" i="2"/>
  <c r="T39" i="2"/>
  <c r="U39" i="2"/>
  <c r="Z50" i="1"/>
  <c r="V40" i="2" s="1"/>
  <c r="Y50" i="1"/>
  <c r="U40" i="2" s="1"/>
  <c r="X50" i="1"/>
  <c r="Q12" i="4" s="1"/>
  <c r="W50" i="1"/>
  <c r="P12" i="4" s="1"/>
  <c r="V50" i="1"/>
  <c r="R40" i="2" s="1"/>
  <c r="U50" i="1"/>
  <c r="Q40" i="2" s="1"/>
  <c r="T50" i="1"/>
  <c r="M12" i="4" s="1"/>
  <c r="S50" i="1"/>
  <c r="L12" i="4" s="1"/>
  <c r="R50" i="1"/>
  <c r="N40" i="2" s="1"/>
  <c r="Q50" i="1"/>
  <c r="M40" i="2" s="1"/>
  <c r="P50" i="1"/>
  <c r="I12" i="4" s="1"/>
  <c r="O50" i="1"/>
  <c r="H12" i="4" s="1"/>
  <c r="N50" i="1"/>
  <c r="J40" i="2" s="1"/>
  <c r="M50" i="1"/>
  <c r="I40" i="2" s="1"/>
  <c r="L50" i="1"/>
  <c r="E12" i="4" s="1"/>
  <c r="K50" i="1"/>
  <c r="D12" i="4" s="1"/>
  <c r="J50" i="1"/>
  <c r="C12" i="4" s="1"/>
  <c r="Z49" i="1"/>
  <c r="S11" i="4" s="1"/>
  <c r="W49" i="1"/>
  <c r="P11" i="4" s="1"/>
  <c r="P49" i="1"/>
  <c r="L39" i="2" s="1"/>
  <c r="O49" i="1"/>
  <c r="H11" i="4" s="1"/>
  <c r="N49" i="1"/>
  <c r="G11" i="4" s="1"/>
  <c r="M49" i="1"/>
  <c r="I39" i="2" s="1"/>
  <c r="L49" i="1"/>
  <c r="H39" i="2" s="1"/>
  <c r="K49" i="1"/>
  <c r="D11" i="4" s="1"/>
  <c r="J49" i="1"/>
  <c r="C11" i="4" s="1"/>
  <c r="V54" i="1"/>
  <c r="V58" i="1" s="1"/>
  <c r="V60" i="1" s="1"/>
  <c r="F40" i="2" l="1"/>
  <c r="S39" i="2"/>
  <c r="L40" i="2"/>
  <c r="F11" i="4"/>
  <c r="S12" i="4"/>
  <c r="H40" i="2"/>
  <c r="T40" i="2"/>
  <c r="P40" i="2"/>
  <c r="K12" i="4"/>
  <c r="K39" i="2"/>
  <c r="R12" i="4"/>
  <c r="J12" i="4"/>
  <c r="V57" i="1"/>
  <c r="V59" i="1" s="1"/>
  <c r="F39" i="2"/>
  <c r="J39" i="2"/>
  <c r="O12" i="4"/>
  <c r="G12" i="4"/>
  <c r="V39" i="2"/>
  <c r="G39" i="2"/>
  <c r="N12" i="4"/>
  <c r="F12" i="4"/>
  <c r="S40" i="2"/>
  <c r="O40" i="2"/>
  <c r="K40" i="2"/>
  <c r="G40" i="2"/>
  <c r="I11" i="4"/>
  <c r="E11" i="4"/>
  <c r="Y28" i="2"/>
  <c r="G20" i="5" l="1"/>
  <c r="G19" i="5"/>
  <c r="G18" i="5"/>
  <c r="F14" i="5"/>
  <c r="E14" i="5"/>
  <c r="F13" i="5"/>
  <c r="E13" i="5"/>
  <c r="F12" i="5"/>
  <c r="E12" i="5"/>
  <c r="G12" i="5" s="1"/>
  <c r="D5" i="4"/>
  <c r="E5" i="4"/>
  <c r="F5" i="4"/>
  <c r="G5" i="4"/>
  <c r="H5" i="4"/>
  <c r="I5" i="4"/>
  <c r="J5" i="4"/>
  <c r="K5" i="4"/>
  <c r="L5" i="4"/>
  <c r="M5" i="4"/>
  <c r="N5" i="4"/>
  <c r="O5" i="4"/>
  <c r="P5" i="4"/>
  <c r="Q5" i="4"/>
  <c r="R5" i="4"/>
  <c r="S5" i="4"/>
  <c r="D8" i="4"/>
  <c r="D13" i="4" s="1"/>
  <c r="E8" i="4"/>
  <c r="E13" i="4" s="1"/>
  <c r="E14" i="4" s="1"/>
  <c r="E16" i="4" s="1"/>
  <c r="E18" i="4" s="1"/>
  <c r="F8" i="4"/>
  <c r="F13" i="4" s="1"/>
  <c r="F14" i="4" s="1"/>
  <c r="F16" i="4" s="1"/>
  <c r="F18" i="4" s="1"/>
  <c r="G8" i="4"/>
  <c r="G13" i="4" s="1"/>
  <c r="G14" i="4" s="1"/>
  <c r="G16" i="4" s="1"/>
  <c r="G18" i="4" s="1"/>
  <c r="H8" i="4"/>
  <c r="I8" i="4"/>
  <c r="I13" i="4" s="1"/>
  <c r="I14" i="4" s="1"/>
  <c r="I16" i="4" s="1"/>
  <c r="I18" i="4" s="1"/>
  <c r="J8" i="4"/>
  <c r="J13" i="4" s="1"/>
  <c r="J14" i="4" s="1"/>
  <c r="J16" i="4" s="1"/>
  <c r="J18" i="4" s="1"/>
  <c r="K8" i="4"/>
  <c r="K13" i="4" s="1"/>
  <c r="K14" i="4" s="1"/>
  <c r="K16" i="4" s="1"/>
  <c r="K18" i="4" s="1"/>
  <c r="L8" i="4"/>
  <c r="M8" i="4"/>
  <c r="N8" i="4"/>
  <c r="N13" i="4" s="1"/>
  <c r="N14" i="4" s="1"/>
  <c r="N16" i="4" s="1"/>
  <c r="N18" i="4" s="1"/>
  <c r="O8" i="4"/>
  <c r="O13" i="4" s="1"/>
  <c r="O14" i="4" s="1"/>
  <c r="O16" i="4" s="1"/>
  <c r="O18" i="4" s="1"/>
  <c r="P8" i="4"/>
  <c r="Q8" i="4"/>
  <c r="R8" i="4"/>
  <c r="R13" i="4" s="1"/>
  <c r="R14" i="4" s="1"/>
  <c r="R16" i="4" s="1"/>
  <c r="R18" i="4" s="1"/>
  <c r="S8" i="4"/>
  <c r="S13" i="4" s="1"/>
  <c r="S14" i="4" s="1"/>
  <c r="S16" i="4" s="1"/>
  <c r="S18" i="4" s="1"/>
  <c r="C8" i="4"/>
  <c r="C13" i="4" s="1"/>
  <c r="C14" i="4" s="1"/>
  <c r="C16" i="4" s="1"/>
  <c r="C18" i="4" s="1"/>
  <c r="I32" i="4"/>
  <c r="I30" i="4"/>
  <c r="I28" i="4"/>
  <c r="L13" i="4"/>
  <c r="M13" i="4"/>
  <c r="M14" i="4" s="1"/>
  <c r="M16" i="4" s="1"/>
  <c r="M18" i="4" s="1"/>
  <c r="P13" i="4"/>
  <c r="P14" i="4" s="1"/>
  <c r="P16" i="4" s="1"/>
  <c r="P18" i="4" s="1"/>
  <c r="Q13" i="4"/>
  <c r="Q14" i="4" s="1"/>
  <c r="Q16" i="4" s="1"/>
  <c r="Q18" i="4" s="1"/>
  <c r="I37" i="4"/>
  <c r="O25" i="4"/>
  <c r="N25" i="4"/>
  <c r="O24" i="4"/>
  <c r="M24" i="4"/>
  <c r="H13" i="4"/>
  <c r="H14" i="4" s="1"/>
  <c r="H16" i="4" s="1"/>
  <c r="H18" i="4" s="1"/>
  <c r="G13" i="5" l="1"/>
  <c r="G14" i="5"/>
  <c r="L14" i="4"/>
  <c r="L16" i="4" s="1"/>
  <c r="L18" i="4" s="1"/>
  <c r="D14" i="4"/>
  <c r="D16" i="4" s="1"/>
  <c r="D18" i="4" s="1"/>
  <c r="O26" i="4"/>
  <c r="C19" i="4" l="1"/>
  <c r="G50" i="2" l="1"/>
  <c r="H50" i="2"/>
  <c r="I50" i="2"/>
  <c r="J50" i="2"/>
  <c r="K50" i="2"/>
  <c r="L50" i="2"/>
  <c r="M50" i="2"/>
  <c r="N50" i="2"/>
  <c r="O50" i="2"/>
  <c r="P50" i="2"/>
  <c r="Q50" i="2"/>
  <c r="R50" i="2"/>
  <c r="S50" i="2"/>
  <c r="T50" i="2"/>
  <c r="U50" i="2"/>
  <c r="V50" i="2"/>
  <c r="F50" i="2"/>
  <c r="A2" i="3" l="1"/>
  <c r="A5" i="3"/>
  <c r="A17" i="3"/>
  <c r="A12" i="3"/>
  <c r="A13" i="3"/>
  <c r="A16" i="3"/>
  <c r="A9" i="3"/>
  <c r="A18" i="3"/>
  <c r="A19" i="3"/>
  <c r="A20" i="3"/>
  <c r="A21" i="3"/>
  <c r="A7" i="3"/>
  <c r="A8" i="3"/>
  <c r="A25" i="3"/>
  <c r="A26" i="3"/>
  <c r="A27" i="3"/>
  <c r="A28" i="3"/>
  <c r="A15" i="3"/>
  <c r="A29" i="3"/>
  <c r="A30" i="3"/>
  <c r="A10" i="3"/>
  <c r="A6" i="3"/>
  <c r="A11" i="3"/>
  <c r="A14" i="3"/>
  <c r="A4" i="3"/>
  <c r="A23" i="3"/>
  <c r="A24" i="3"/>
  <c r="A22" i="3"/>
  <c r="A3"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E3" i="2" l="1"/>
  <c r="Y4" i="2"/>
  <c r="H42" i="2" s="1"/>
  <c r="E4" i="2"/>
  <c r="A16" i="2" s="1"/>
  <c r="B42" i="2" s="1"/>
  <c r="G11" i="2"/>
  <c r="I6" i="2"/>
  <c r="K3" i="2"/>
  <c r="AA3" i="2"/>
  <c r="N41" i="2" s="1"/>
  <c r="W11" i="2"/>
  <c r="T4" i="2"/>
  <c r="M5" i="2"/>
  <c r="N10" i="2"/>
  <c r="AA8" i="2"/>
  <c r="N46" i="2" s="1"/>
  <c r="U9" i="2"/>
  <c r="H4" i="2"/>
  <c r="Q5" i="2"/>
  <c r="I9" i="2"/>
  <c r="R10" i="2"/>
  <c r="AA11" i="2"/>
  <c r="N49" i="2" s="1"/>
  <c r="S3" i="2"/>
  <c r="L4" i="2"/>
  <c r="AB4" i="2"/>
  <c r="V42" i="2" s="1"/>
  <c r="U5" i="2"/>
  <c r="R7" i="2"/>
  <c r="M9" i="2"/>
  <c r="F10" i="2"/>
  <c r="O11" i="2"/>
  <c r="G3" i="2"/>
  <c r="W3" i="2"/>
  <c r="P4" i="2"/>
  <c r="I5" i="2"/>
  <c r="Y5" i="2"/>
  <c r="H43" i="2" s="1"/>
  <c r="K8" i="2"/>
  <c r="Q9" i="2"/>
  <c r="J10" i="2"/>
  <c r="Z10" i="2"/>
  <c r="M48" i="2" s="1"/>
  <c r="S11" i="2"/>
  <c r="O3" i="2"/>
  <c r="X4" i="2"/>
  <c r="Y6" i="2"/>
  <c r="H44" i="2" s="1"/>
  <c r="Y9" i="2"/>
  <c r="H47" i="2" s="1"/>
  <c r="K11" i="2"/>
  <c r="V10" i="2"/>
  <c r="E6" i="2"/>
  <c r="A18" i="2" s="1"/>
  <c r="L3" i="2"/>
  <c r="T3" i="2"/>
  <c r="AB3" i="2"/>
  <c r="V41" i="2" s="1"/>
  <c r="M4" i="2"/>
  <c r="U4" i="2"/>
  <c r="F5" i="2"/>
  <c r="N5" i="2"/>
  <c r="V5" i="2"/>
  <c r="M6" i="2"/>
  <c r="V7" i="2"/>
  <c r="F9" i="2"/>
  <c r="N9" i="2"/>
  <c r="V9" i="2"/>
  <c r="G10" i="2"/>
  <c r="O10" i="2"/>
  <c r="W10" i="2"/>
  <c r="H11" i="2"/>
  <c r="P11" i="2"/>
  <c r="AB11" i="2"/>
  <c r="V49" i="2" s="1"/>
  <c r="E9" i="2"/>
  <c r="A21" i="2" s="1"/>
  <c r="J3" i="2"/>
  <c r="N3" i="2"/>
  <c r="R3" i="2"/>
  <c r="V3" i="2"/>
  <c r="Z3" i="2"/>
  <c r="M41" i="2" s="1"/>
  <c r="G4" i="2"/>
  <c r="K4" i="2"/>
  <c r="O4" i="2"/>
  <c r="S4" i="2"/>
  <c r="W4" i="2"/>
  <c r="AA4" i="2"/>
  <c r="N42" i="2" s="1"/>
  <c r="H5" i="2"/>
  <c r="L5" i="2"/>
  <c r="P5" i="2"/>
  <c r="T5" i="2"/>
  <c r="X5" i="2"/>
  <c r="AB5" i="2"/>
  <c r="V43" i="2" s="1"/>
  <c r="U6" i="2"/>
  <c r="N7" i="2"/>
  <c r="G8" i="2"/>
  <c r="W8" i="2"/>
  <c r="H9" i="2"/>
  <c r="L9" i="2"/>
  <c r="P9" i="2"/>
  <c r="T9" i="2"/>
  <c r="X9" i="2"/>
  <c r="AB9" i="2"/>
  <c r="V47" i="2" s="1"/>
  <c r="I10" i="2"/>
  <c r="M10" i="2"/>
  <c r="Q10" i="2"/>
  <c r="U10" i="2"/>
  <c r="Y10" i="2"/>
  <c r="H48" i="2" s="1"/>
  <c r="F11" i="2"/>
  <c r="J11" i="2"/>
  <c r="N11" i="2"/>
  <c r="R11" i="2"/>
  <c r="V11" i="2"/>
  <c r="Z11" i="2"/>
  <c r="M49" i="2" s="1"/>
  <c r="E11" i="2"/>
  <c r="A23" i="2" s="1"/>
  <c r="E7" i="2"/>
  <c r="A19" i="2" s="1"/>
  <c r="E10" i="2"/>
  <c r="A22" i="2" s="1"/>
  <c r="H3" i="2"/>
  <c r="P3" i="2"/>
  <c r="X3" i="2"/>
  <c r="I4" i="2"/>
  <c r="Q4" i="2"/>
  <c r="J5" i="2"/>
  <c r="R5" i="2"/>
  <c r="Z5" i="2"/>
  <c r="M43" i="2" s="1"/>
  <c r="F7" i="2"/>
  <c r="O8" i="2"/>
  <c r="J9" i="2"/>
  <c r="R9" i="2"/>
  <c r="Z9" i="2"/>
  <c r="M47" i="2" s="1"/>
  <c r="K10" i="2"/>
  <c r="S10" i="2"/>
  <c r="AA10" i="2"/>
  <c r="N48" i="2" s="1"/>
  <c r="L11" i="2"/>
  <c r="T11" i="2"/>
  <c r="X11" i="2"/>
  <c r="Z8" i="2"/>
  <c r="M46" i="2" s="1"/>
  <c r="F3" i="2"/>
  <c r="E5" i="2"/>
  <c r="A17" i="2" s="1"/>
  <c r="I3" i="2"/>
  <c r="M3" i="2"/>
  <c r="Q3" i="2"/>
  <c r="U3" i="2"/>
  <c r="Y3" i="2"/>
  <c r="H41" i="2" s="1"/>
  <c r="F4" i="2"/>
  <c r="J4" i="2"/>
  <c r="N4" i="2"/>
  <c r="R4" i="2"/>
  <c r="V4" i="2"/>
  <c r="Z4" i="2"/>
  <c r="M42" i="2" s="1"/>
  <c r="G5" i="2"/>
  <c r="K5" i="2"/>
  <c r="O5" i="2"/>
  <c r="S5" i="2"/>
  <c r="W5" i="2"/>
  <c r="AA5" i="2"/>
  <c r="N43" i="2" s="1"/>
  <c r="Q6" i="2"/>
  <c r="J7" i="2"/>
  <c r="Z7" i="2"/>
  <c r="M45" i="2" s="1"/>
  <c r="S8" i="2"/>
  <c r="G9" i="2"/>
  <c r="K9" i="2"/>
  <c r="O9" i="2"/>
  <c r="S9" i="2"/>
  <c r="W9" i="2"/>
  <c r="AA9" i="2"/>
  <c r="N47" i="2" s="1"/>
  <c r="H10" i="2"/>
  <c r="L10" i="2"/>
  <c r="P10" i="2"/>
  <c r="T10" i="2"/>
  <c r="X10" i="2"/>
  <c r="AB10" i="2"/>
  <c r="V48" i="2" s="1"/>
  <c r="I11" i="2"/>
  <c r="M11" i="2"/>
  <c r="Q11" i="2"/>
  <c r="U11" i="2"/>
  <c r="Y11" i="2"/>
  <c r="H49" i="2" s="1"/>
  <c r="A15" i="2"/>
  <c r="E8" i="2"/>
  <c r="A20" i="2" s="1"/>
  <c r="F6" i="2"/>
  <c r="J6" i="2"/>
  <c r="N6" i="2"/>
  <c r="R6" i="2"/>
  <c r="V6" i="2"/>
  <c r="Z6" i="2"/>
  <c r="M44" i="2" s="1"/>
  <c r="G7" i="2"/>
  <c r="K7" i="2"/>
  <c r="O7" i="2"/>
  <c r="S7" i="2"/>
  <c r="W7" i="2"/>
  <c r="AA7" i="2"/>
  <c r="N45" i="2" s="1"/>
  <c r="H8" i="2"/>
  <c r="L8" i="2"/>
  <c r="P8" i="2"/>
  <c r="T8" i="2"/>
  <c r="X8" i="2"/>
  <c r="AB8" i="2"/>
  <c r="V46" i="2" s="1"/>
  <c r="G6" i="2"/>
  <c r="K6" i="2"/>
  <c r="O6" i="2"/>
  <c r="S6" i="2"/>
  <c r="W6" i="2"/>
  <c r="AA6" i="2"/>
  <c r="N44" i="2" s="1"/>
  <c r="H7" i="2"/>
  <c r="L7" i="2"/>
  <c r="P7" i="2"/>
  <c r="T7" i="2"/>
  <c r="X7" i="2"/>
  <c r="AB7" i="2"/>
  <c r="V45" i="2" s="1"/>
  <c r="I8" i="2"/>
  <c r="M8" i="2"/>
  <c r="Q8" i="2"/>
  <c r="U8" i="2"/>
  <c r="Y8" i="2"/>
  <c r="H46" i="2" s="1"/>
  <c r="H6" i="2"/>
  <c r="L6" i="2"/>
  <c r="P6" i="2"/>
  <c r="T6" i="2"/>
  <c r="X6" i="2"/>
  <c r="AB6" i="2"/>
  <c r="V44" i="2" s="1"/>
  <c r="I7" i="2"/>
  <c r="M7" i="2"/>
  <c r="Q7" i="2"/>
  <c r="U7" i="2"/>
  <c r="Y7" i="2"/>
  <c r="H45" i="2" s="1"/>
  <c r="F8" i="2"/>
  <c r="J8" i="2"/>
  <c r="N8" i="2"/>
  <c r="R8" i="2"/>
  <c r="V8" i="2"/>
  <c r="H15" i="2" l="1"/>
  <c r="H54" i="2" s="1"/>
  <c r="K23" i="2"/>
  <c r="K62" i="2" s="1"/>
  <c r="J23" i="2"/>
  <c r="J62" i="2" s="1"/>
  <c r="L23" i="2"/>
  <c r="L62" i="2" s="1"/>
  <c r="M23" i="2"/>
  <c r="M62" i="2" s="1"/>
  <c r="O23" i="2"/>
  <c r="O62" i="2" s="1"/>
  <c r="R23" i="2"/>
  <c r="R62" i="2" s="1"/>
  <c r="P23" i="2"/>
  <c r="P62" i="2" s="1"/>
  <c r="G23" i="2"/>
  <c r="G62" i="2" s="1"/>
  <c r="H23" i="2"/>
  <c r="H62" i="2" s="1"/>
  <c r="N23" i="2"/>
  <c r="N62" i="2" s="1"/>
  <c r="I23" i="2"/>
  <c r="I62" i="2" s="1"/>
  <c r="S23" i="2"/>
  <c r="S62" i="2" s="1"/>
  <c r="V23" i="2"/>
  <c r="V62" i="2" s="1"/>
  <c r="T23" i="2"/>
  <c r="T62" i="2" s="1"/>
  <c r="F23" i="2"/>
  <c r="F62" i="2" s="1"/>
  <c r="Q23" i="2"/>
  <c r="Q62" i="2" s="1"/>
  <c r="U23" i="2"/>
  <c r="U62" i="2" s="1"/>
  <c r="B41" i="2"/>
  <c r="B49" i="2"/>
  <c r="B48" i="2"/>
  <c r="B46" i="2"/>
  <c r="B43" i="2"/>
  <c r="B45" i="2"/>
  <c r="B47" i="2"/>
  <c r="B44" i="2"/>
  <c r="I21" i="2"/>
  <c r="I60" i="2" s="1"/>
  <c r="M21" i="2"/>
  <c r="M60" i="2" s="1"/>
  <c r="Q21" i="2"/>
  <c r="Q60" i="2" s="1"/>
  <c r="U21" i="2"/>
  <c r="U60" i="2" s="1"/>
  <c r="J21" i="2"/>
  <c r="J60" i="2" s="1"/>
  <c r="N21" i="2"/>
  <c r="N60" i="2" s="1"/>
  <c r="R21" i="2"/>
  <c r="R60" i="2" s="1"/>
  <c r="V21" i="2"/>
  <c r="V60" i="2" s="1"/>
  <c r="S21" i="2"/>
  <c r="S60" i="2" s="1"/>
  <c r="H21" i="2"/>
  <c r="H60" i="2" s="1"/>
  <c r="P21" i="2"/>
  <c r="P60" i="2" s="1"/>
  <c r="G21" i="2"/>
  <c r="G60" i="2" s="1"/>
  <c r="K21" i="2"/>
  <c r="K60" i="2" s="1"/>
  <c r="O21" i="2"/>
  <c r="O60" i="2" s="1"/>
  <c r="F21" i="2"/>
  <c r="F60" i="2" s="1"/>
  <c r="L21" i="2"/>
  <c r="L60" i="2" s="1"/>
  <c r="T21" i="2"/>
  <c r="T60" i="2" s="1"/>
  <c r="J22" i="2"/>
  <c r="J61" i="2" s="1"/>
  <c r="N22" i="2"/>
  <c r="N61" i="2" s="1"/>
  <c r="R22" i="2"/>
  <c r="R61" i="2" s="1"/>
  <c r="V22" i="2"/>
  <c r="V61" i="2" s="1"/>
  <c r="G22" i="2"/>
  <c r="G61" i="2" s="1"/>
  <c r="K22" i="2"/>
  <c r="K61" i="2" s="1"/>
  <c r="O22" i="2"/>
  <c r="O61" i="2" s="1"/>
  <c r="S22" i="2"/>
  <c r="S61" i="2" s="1"/>
  <c r="F22" i="2"/>
  <c r="F61" i="2" s="1"/>
  <c r="I22" i="2"/>
  <c r="I61" i="2" s="1"/>
  <c r="Q22" i="2"/>
  <c r="Q61" i="2" s="1"/>
  <c r="H22" i="2"/>
  <c r="H61" i="2" s="1"/>
  <c r="L22" i="2"/>
  <c r="L61" i="2" s="1"/>
  <c r="P22" i="2"/>
  <c r="P61" i="2" s="1"/>
  <c r="T22" i="2"/>
  <c r="T61" i="2" s="1"/>
  <c r="M22" i="2"/>
  <c r="M61" i="2" s="1"/>
  <c r="U22" i="2"/>
  <c r="U61" i="2" s="1"/>
  <c r="J18" i="2"/>
  <c r="J57" i="2" s="1"/>
  <c r="N18" i="2"/>
  <c r="N57" i="2" s="1"/>
  <c r="R18" i="2"/>
  <c r="R57" i="2" s="1"/>
  <c r="V18" i="2"/>
  <c r="V57" i="2" s="1"/>
  <c r="G18" i="2"/>
  <c r="G57" i="2" s="1"/>
  <c r="K18" i="2"/>
  <c r="K57" i="2" s="1"/>
  <c r="O18" i="2"/>
  <c r="O57" i="2" s="1"/>
  <c r="S18" i="2"/>
  <c r="S57" i="2" s="1"/>
  <c r="F18" i="2"/>
  <c r="F57" i="2" s="1"/>
  <c r="H18" i="2"/>
  <c r="H57" i="2" s="1"/>
  <c r="P18" i="2"/>
  <c r="P57" i="2" s="1"/>
  <c r="I18" i="2"/>
  <c r="I57" i="2" s="1"/>
  <c r="Q18" i="2"/>
  <c r="Q57" i="2" s="1"/>
  <c r="L18" i="2"/>
  <c r="L57" i="2" s="1"/>
  <c r="T18" i="2"/>
  <c r="T57" i="2" s="1"/>
  <c r="M18" i="2"/>
  <c r="M57" i="2" s="1"/>
  <c r="U18" i="2"/>
  <c r="U57" i="2" s="1"/>
  <c r="H20" i="2"/>
  <c r="H59" i="2" s="1"/>
  <c r="L20" i="2"/>
  <c r="L59" i="2" s="1"/>
  <c r="P20" i="2"/>
  <c r="P59" i="2" s="1"/>
  <c r="T20" i="2"/>
  <c r="T59" i="2" s="1"/>
  <c r="I20" i="2"/>
  <c r="I59" i="2" s="1"/>
  <c r="M20" i="2"/>
  <c r="M59" i="2" s="1"/>
  <c r="Q20" i="2"/>
  <c r="Q59" i="2" s="1"/>
  <c r="U20" i="2"/>
  <c r="U59" i="2" s="1"/>
  <c r="J20" i="2"/>
  <c r="J59" i="2" s="1"/>
  <c r="R20" i="2"/>
  <c r="R59" i="2" s="1"/>
  <c r="G20" i="2"/>
  <c r="G59" i="2" s="1"/>
  <c r="O20" i="2"/>
  <c r="O59" i="2" s="1"/>
  <c r="F20" i="2"/>
  <c r="F59" i="2" s="1"/>
  <c r="N20" i="2"/>
  <c r="N59" i="2" s="1"/>
  <c r="V20" i="2"/>
  <c r="V59" i="2" s="1"/>
  <c r="K20" i="2"/>
  <c r="K59" i="2" s="1"/>
  <c r="S20" i="2"/>
  <c r="S59" i="2" s="1"/>
  <c r="G19" i="2"/>
  <c r="G58" i="2" s="1"/>
  <c r="K19" i="2"/>
  <c r="K58" i="2" s="1"/>
  <c r="O19" i="2"/>
  <c r="O58" i="2" s="1"/>
  <c r="S19" i="2"/>
  <c r="S58" i="2" s="1"/>
  <c r="F19" i="2"/>
  <c r="F58" i="2" s="1"/>
  <c r="H19" i="2"/>
  <c r="H58" i="2" s="1"/>
  <c r="L19" i="2"/>
  <c r="L58" i="2" s="1"/>
  <c r="P19" i="2"/>
  <c r="P58" i="2" s="1"/>
  <c r="T19" i="2"/>
  <c r="T58" i="2" s="1"/>
  <c r="I19" i="2"/>
  <c r="I58" i="2" s="1"/>
  <c r="Q19" i="2"/>
  <c r="Q58" i="2" s="1"/>
  <c r="R19" i="2"/>
  <c r="R58" i="2" s="1"/>
  <c r="M19" i="2"/>
  <c r="M58" i="2" s="1"/>
  <c r="U19" i="2"/>
  <c r="U58" i="2" s="1"/>
  <c r="J19" i="2"/>
  <c r="J58" i="2" s="1"/>
  <c r="N19" i="2"/>
  <c r="N58" i="2" s="1"/>
  <c r="V19" i="2"/>
  <c r="V58" i="2" s="1"/>
  <c r="I17" i="2"/>
  <c r="I56" i="2" s="1"/>
  <c r="M17" i="2"/>
  <c r="M56" i="2" s="1"/>
  <c r="Q17" i="2"/>
  <c r="Q56" i="2" s="1"/>
  <c r="U17" i="2"/>
  <c r="U56" i="2" s="1"/>
  <c r="F17" i="2"/>
  <c r="F56" i="2" s="1"/>
  <c r="J17" i="2"/>
  <c r="J56" i="2" s="1"/>
  <c r="N17" i="2"/>
  <c r="N56" i="2" s="1"/>
  <c r="R17" i="2"/>
  <c r="R56" i="2" s="1"/>
  <c r="V17" i="2"/>
  <c r="V56" i="2" s="1"/>
  <c r="G17" i="2"/>
  <c r="G56" i="2" s="1"/>
  <c r="K17" i="2"/>
  <c r="K56" i="2" s="1"/>
  <c r="O17" i="2"/>
  <c r="O56" i="2" s="1"/>
  <c r="S17" i="2"/>
  <c r="S56" i="2" s="1"/>
  <c r="H17" i="2"/>
  <c r="H56" i="2" s="1"/>
  <c r="L17" i="2"/>
  <c r="L56" i="2" s="1"/>
  <c r="P17" i="2"/>
  <c r="P56" i="2" s="1"/>
  <c r="T17" i="2"/>
  <c r="T56" i="2" s="1"/>
  <c r="I16" i="2"/>
  <c r="I55" i="2" s="1"/>
  <c r="M16" i="2"/>
  <c r="M55" i="2" s="1"/>
  <c r="Q16" i="2"/>
  <c r="Q55" i="2" s="1"/>
  <c r="U16" i="2"/>
  <c r="U55" i="2" s="1"/>
  <c r="J16" i="2"/>
  <c r="J55" i="2" s="1"/>
  <c r="N16" i="2"/>
  <c r="N55" i="2" s="1"/>
  <c r="R16" i="2"/>
  <c r="R55" i="2" s="1"/>
  <c r="V16" i="2"/>
  <c r="V55" i="2" s="1"/>
  <c r="G16" i="2"/>
  <c r="G55" i="2" s="1"/>
  <c r="K16" i="2"/>
  <c r="K55" i="2" s="1"/>
  <c r="O16" i="2"/>
  <c r="O55" i="2" s="1"/>
  <c r="S16" i="2"/>
  <c r="S55" i="2" s="1"/>
  <c r="F16" i="2"/>
  <c r="F55" i="2" s="1"/>
  <c r="H16" i="2"/>
  <c r="H55" i="2" s="1"/>
  <c r="L16" i="2"/>
  <c r="L55" i="2" s="1"/>
  <c r="P16" i="2"/>
  <c r="P55" i="2" s="1"/>
  <c r="T16" i="2"/>
  <c r="T55" i="2" s="1"/>
  <c r="L15" i="2"/>
  <c r="L54" i="2" s="1"/>
  <c r="P15" i="2"/>
  <c r="P54" i="2" s="1"/>
  <c r="T15" i="2"/>
  <c r="T54" i="2" s="1"/>
  <c r="I15" i="2"/>
  <c r="I54" i="2" s="1"/>
  <c r="M15" i="2"/>
  <c r="M54" i="2" s="1"/>
  <c r="Q15" i="2"/>
  <c r="Q54" i="2" s="1"/>
  <c r="U15" i="2"/>
  <c r="U54" i="2" s="1"/>
  <c r="J15" i="2"/>
  <c r="J54" i="2" s="1"/>
  <c r="N15" i="2"/>
  <c r="N54" i="2" s="1"/>
  <c r="R15" i="2"/>
  <c r="R54" i="2" s="1"/>
  <c r="V15" i="2"/>
  <c r="V54" i="2" s="1"/>
  <c r="G15" i="2"/>
  <c r="G54" i="2" s="1"/>
  <c r="K15" i="2"/>
  <c r="K54" i="2" s="1"/>
  <c r="O15" i="2"/>
  <c r="O54" i="2" s="1"/>
  <c r="S15" i="2"/>
  <c r="S54" i="2" s="1"/>
  <c r="F15" i="2"/>
  <c r="F54" i="2" s="1"/>
  <c r="F63" i="2" l="1"/>
  <c r="F65" i="2" s="1"/>
  <c r="F67" i="2" s="1"/>
  <c r="S63" i="2"/>
  <c r="S64" i="2" s="1"/>
  <c r="S66" i="2" s="1"/>
  <c r="V63" i="2"/>
  <c r="V64" i="2" s="1"/>
  <c r="V66" i="2" s="1"/>
  <c r="U63" i="2"/>
  <c r="U65" i="2" s="1"/>
  <c r="U67" i="2" s="1"/>
  <c r="T63" i="2"/>
  <c r="T65" i="2" s="1"/>
  <c r="T67" i="2" s="1"/>
  <c r="R63" i="2"/>
  <c r="R65" i="2" s="1"/>
  <c r="R67" i="2" s="1"/>
  <c r="Q63" i="2"/>
  <c r="Q65" i="2" s="1"/>
  <c r="Q67" i="2" s="1"/>
  <c r="K63" i="2"/>
  <c r="K65" i="2" s="1"/>
  <c r="K67" i="2" s="1"/>
  <c r="N63" i="2"/>
  <c r="N64" i="2" s="1"/>
  <c r="N66" i="2" s="1"/>
  <c r="M63" i="2"/>
  <c r="M65" i="2" s="1"/>
  <c r="M67" i="2" s="1"/>
  <c r="L63" i="2"/>
  <c r="L64" i="2" s="1"/>
  <c r="L66" i="2" s="1"/>
  <c r="O63" i="2"/>
  <c r="O65" i="2" s="1"/>
  <c r="O67" i="2" s="1"/>
  <c r="P63" i="2"/>
  <c r="P65" i="2" s="1"/>
  <c r="P67" i="2" s="1"/>
  <c r="G63" i="2"/>
  <c r="G64" i="2" s="1"/>
  <c r="G66" i="2" s="1"/>
  <c r="J63" i="2"/>
  <c r="J65" i="2" s="1"/>
  <c r="J67" i="2" s="1"/>
  <c r="I63" i="2"/>
  <c r="I64" i="2" s="1"/>
  <c r="I66" i="2" s="1"/>
  <c r="H63" i="2"/>
  <c r="H64" i="2" s="1"/>
  <c r="H66" i="2" s="1"/>
  <c r="K24" i="2"/>
  <c r="N24" i="2"/>
  <c r="M24" i="2"/>
  <c r="H24" i="2"/>
  <c r="F24" i="2"/>
  <c r="G24" i="2"/>
  <c r="I24" i="2"/>
  <c r="P24" i="2"/>
  <c r="S24" i="2"/>
  <c r="V24" i="2"/>
  <c r="U24" i="2"/>
  <c r="T24" i="2"/>
  <c r="J24" i="2"/>
  <c r="L24" i="2"/>
  <c r="O24" i="2"/>
  <c r="R24" i="2"/>
  <c r="Q24" i="2"/>
  <c r="P4" i="1"/>
  <c r="P7" i="1" s="1"/>
  <c r="P8" i="1" s="1"/>
  <c r="N4" i="1"/>
  <c r="N7" i="1" s="1"/>
  <c r="N8" i="1" s="1"/>
  <c r="O4" i="1"/>
  <c r="O5" i="1" s="1"/>
  <c r="O51" i="1" s="1"/>
  <c r="Z4" i="1"/>
  <c r="Z5" i="1" s="1"/>
  <c r="Z51" i="1" s="1"/>
  <c r="Y4" i="1"/>
  <c r="Y5" i="1" s="1"/>
  <c r="Y51" i="1" s="1"/>
  <c r="X4" i="1"/>
  <c r="X5" i="1" s="1"/>
  <c r="X51" i="1" s="1"/>
  <c r="W4" i="1"/>
  <c r="W5" i="1" s="1"/>
  <c r="W51" i="1" s="1"/>
  <c r="V4" i="1"/>
  <c r="V5" i="1" s="1"/>
  <c r="V51" i="1" s="1"/>
  <c r="U4" i="1"/>
  <c r="U5" i="1" s="1"/>
  <c r="U51" i="1" s="1"/>
  <c r="T4" i="1"/>
  <c r="T5" i="1" s="1"/>
  <c r="T51" i="1" s="1"/>
  <c r="S4" i="1"/>
  <c r="S5" i="1" s="1"/>
  <c r="S51" i="1" s="1"/>
  <c r="L4" i="1"/>
  <c r="R4" i="1"/>
  <c r="R5" i="1" s="1"/>
  <c r="Q4" i="1"/>
  <c r="Q5" i="1" s="1"/>
  <c r="Q51" i="1" s="1"/>
  <c r="M4" i="1"/>
  <c r="M5" i="1" s="1"/>
  <c r="M51" i="1" s="1"/>
  <c r="K4" i="1"/>
  <c r="K5" i="1" s="1"/>
  <c r="K51" i="1" s="1"/>
  <c r="J4" i="1"/>
  <c r="L5" i="1" l="1"/>
  <c r="L51" i="1" s="1"/>
  <c r="L7" i="1"/>
  <c r="L8" i="1" s="1"/>
  <c r="N25" i="2"/>
  <c r="N27" i="2" s="1"/>
  <c r="R51" i="1"/>
  <c r="H65" i="2"/>
  <c r="H67" i="2" s="1"/>
  <c r="M64" i="2"/>
  <c r="M66" i="2" s="1"/>
  <c r="S65" i="2"/>
  <c r="S67" i="2" s="1"/>
  <c r="V65" i="2"/>
  <c r="V67" i="2" s="1"/>
  <c r="L65" i="2"/>
  <c r="L67" i="2" s="1"/>
  <c r="Q64" i="2"/>
  <c r="Q66" i="2" s="1"/>
  <c r="T64" i="2"/>
  <c r="T66" i="2" s="1"/>
  <c r="U64" i="2"/>
  <c r="U66" i="2" s="1"/>
  <c r="G65" i="2"/>
  <c r="G67" i="2" s="1"/>
  <c r="R64" i="2"/>
  <c r="R66" i="2" s="1"/>
  <c r="F64" i="2"/>
  <c r="F66" i="2" s="1"/>
  <c r="J64" i="2"/>
  <c r="J66" i="2" s="1"/>
  <c r="K64" i="2"/>
  <c r="K66" i="2" s="1"/>
  <c r="O64" i="2"/>
  <c r="O66" i="2" s="1"/>
  <c r="P64" i="2"/>
  <c r="P66" i="2" s="1"/>
  <c r="I65" i="2"/>
  <c r="I67" i="2" s="1"/>
  <c r="N65" i="2"/>
  <c r="N67" i="2" s="1"/>
  <c r="M25" i="2"/>
  <c r="M27" i="2" s="1"/>
  <c r="S25" i="2"/>
  <c r="S27" i="2" s="1"/>
  <c r="K25" i="2"/>
  <c r="K27" i="2" s="1"/>
  <c r="P25" i="2"/>
  <c r="P27" i="2" s="1"/>
  <c r="T25" i="2"/>
  <c r="T27" i="2" s="1"/>
  <c r="Q25" i="2"/>
  <c r="Q27" i="2" s="1"/>
  <c r="R25" i="2"/>
  <c r="R27" i="2" s="1"/>
  <c r="G25" i="2"/>
  <c r="G27" i="2" s="1"/>
  <c r="V25" i="2"/>
  <c r="V27" i="2" s="1"/>
  <c r="U25" i="2"/>
  <c r="U27" i="2" s="1"/>
  <c r="I25" i="2"/>
  <c r="O25" i="2"/>
  <c r="O27" i="2" s="1"/>
  <c r="J5" i="1"/>
  <c r="J51" i="1" s="1"/>
  <c r="J7" i="1"/>
  <c r="J8" i="1" s="1"/>
  <c r="U7" i="1"/>
  <c r="U8" i="1" s="1"/>
  <c r="T7" i="1"/>
  <c r="T8" i="1" s="1"/>
  <c r="X7" i="1"/>
  <c r="X8" i="1" s="1"/>
  <c r="Y7" i="1"/>
  <c r="Y8" i="1" s="1"/>
  <c r="M7" i="1"/>
  <c r="M8" i="1" s="1"/>
  <c r="N5" i="1"/>
  <c r="N51" i="1" s="1"/>
  <c r="S7" i="1"/>
  <c r="S8" i="1" s="1"/>
  <c r="W7" i="1"/>
  <c r="W8" i="1" s="1"/>
  <c r="R7" i="1"/>
  <c r="R8" i="1" s="1"/>
  <c r="V7" i="1"/>
  <c r="V8" i="1" s="1"/>
  <c r="Z7" i="1"/>
  <c r="Z8" i="1" s="1"/>
  <c r="Q7" i="1"/>
  <c r="Q8" i="1" s="1"/>
  <c r="P5" i="1"/>
  <c r="O7" i="1"/>
  <c r="O8" i="1" s="1"/>
  <c r="H25" i="2" l="1"/>
  <c r="H27" i="2" s="1"/>
  <c r="Y34" i="2"/>
  <c r="Y33" i="2"/>
  <c r="I27" i="2"/>
  <c r="I30" i="2"/>
  <c r="N26" i="2"/>
  <c r="N30" i="2"/>
  <c r="L25" i="2"/>
  <c r="L27" i="2" s="1"/>
  <c r="P51" i="1"/>
  <c r="M26" i="2"/>
  <c r="M30" i="2"/>
  <c r="T30" i="2"/>
  <c r="T33" i="2" s="1"/>
  <c r="R30" i="2"/>
  <c r="R33" i="2" s="1"/>
  <c r="F25" i="2"/>
  <c r="F27" i="2" s="1"/>
  <c r="U30" i="2"/>
  <c r="Y25" i="2" s="1"/>
  <c r="K30" i="2"/>
  <c r="U26" i="2"/>
  <c r="Q30" i="2"/>
  <c r="Q33" i="2" s="1"/>
  <c r="K26" i="2"/>
  <c r="S26" i="2"/>
  <c r="S30" i="2"/>
  <c r="S33" i="2" s="1"/>
  <c r="O26" i="2"/>
  <c r="O30" i="2"/>
  <c r="O33" i="2" s="1"/>
  <c r="P26" i="2"/>
  <c r="P30" i="2"/>
  <c r="P33" i="2" s="1"/>
  <c r="V26" i="2"/>
  <c r="V30" i="2"/>
  <c r="V33" i="2" s="1"/>
  <c r="I26" i="2"/>
  <c r="G26" i="2"/>
  <c r="T26" i="2"/>
  <c r="R26" i="2"/>
  <c r="Q26" i="2"/>
  <c r="J25" i="2"/>
  <c r="J27" i="2" s="1"/>
  <c r="R52" i="1"/>
  <c r="R54" i="1" s="1"/>
  <c r="S52" i="1"/>
  <c r="S54" i="1" s="1"/>
  <c r="H30" i="2" l="1"/>
  <c r="H33" i="2" s="1"/>
  <c r="H26" i="2"/>
  <c r="Y26" i="2"/>
  <c r="Y24" i="2"/>
  <c r="Y21" i="2"/>
  <c r="Y23" i="2"/>
  <c r="Y22" i="2"/>
  <c r="Y20" i="2"/>
  <c r="K33" i="2"/>
  <c r="I33" i="2"/>
  <c r="U33" i="2"/>
  <c r="N32" i="2"/>
  <c r="L26" i="2"/>
  <c r="N33" i="2"/>
  <c r="N34" i="2"/>
  <c r="N31" i="2"/>
  <c r="S58" i="1"/>
  <c r="S60" i="1" s="1"/>
  <c r="S57" i="1"/>
  <c r="S59" i="1" s="1"/>
  <c r="R58" i="1"/>
  <c r="R60" i="1" s="1"/>
  <c r="R57" i="1"/>
  <c r="R59" i="1" s="1"/>
  <c r="L30" i="2"/>
  <c r="L33" i="2" s="1"/>
  <c r="M33" i="2"/>
  <c r="U32" i="2"/>
  <c r="Q34" i="2"/>
  <c r="F30" i="2"/>
  <c r="F26" i="2"/>
  <c r="R32" i="2"/>
  <c r="T31" i="2"/>
  <c r="M31" i="2"/>
  <c r="Q32" i="2"/>
  <c r="M32" i="2"/>
  <c r="M34" i="2"/>
  <c r="R31" i="2"/>
  <c r="U34" i="2"/>
  <c r="T34" i="2"/>
  <c r="T32" i="2"/>
  <c r="R34" i="2"/>
  <c r="K31" i="2"/>
  <c r="Q31" i="2"/>
  <c r="U31" i="2"/>
  <c r="J30" i="2"/>
  <c r="K32" i="2"/>
  <c r="K34" i="2"/>
  <c r="I32" i="2"/>
  <c r="I31" i="2"/>
  <c r="I34" i="2"/>
  <c r="P34" i="2"/>
  <c r="P32" i="2"/>
  <c r="P31" i="2"/>
  <c r="O32" i="2"/>
  <c r="O31" i="2"/>
  <c r="O34" i="2"/>
  <c r="V32" i="2"/>
  <c r="V31" i="2"/>
  <c r="V34" i="2"/>
  <c r="S32" i="2"/>
  <c r="S31" i="2"/>
  <c r="S34" i="2"/>
  <c r="J26" i="2"/>
  <c r="Z52" i="1"/>
  <c r="Z54" i="1" s="1"/>
  <c r="N52" i="1"/>
  <c r="N54" i="1" s="1"/>
  <c r="J52" i="1"/>
  <c r="J54" i="1" s="1"/>
  <c r="W52" i="1"/>
  <c r="W54" i="1" s="1"/>
  <c r="Y52" i="1"/>
  <c r="Y54" i="1" s="1"/>
  <c r="Y58" i="1" s="1"/>
  <c r="Y60" i="1" s="1"/>
  <c r="K52" i="1"/>
  <c r="K54" i="1" s="1"/>
  <c r="X52" i="1"/>
  <c r="X54" i="1" s="1"/>
  <c r="L52" i="1"/>
  <c r="L54" i="1" s="1"/>
  <c r="P52" i="1"/>
  <c r="P54" i="1" s="1"/>
  <c r="M52" i="1"/>
  <c r="M54" i="1" s="1"/>
  <c r="U52" i="1"/>
  <c r="U54" i="1" s="1"/>
  <c r="O52" i="1"/>
  <c r="O54" i="1" s="1"/>
  <c r="Q52" i="1"/>
  <c r="Q54" i="1" s="1"/>
  <c r="T52" i="1"/>
  <c r="T54" i="1" s="1"/>
  <c r="H31" i="2" l="1"/>
  <c r="Y19" i="2"/>
  <c r="Y18" i="2"/>
  <c r="H34" i="2"/>
  <c r="H32" i="2"/>
  <c r="Y17" i="2"/>
  <c r="J33" i="2"/>
  <c r="Y16" i="2"/>
  <c r="Y15" i="2"/>
  <c r="L34" i="2"/>
  <c r="L31" i="2"/>
  <c r="L32" i="2"/>
  <c r="U58" i="1"/>
  <c r="U60" i="1" s="1"/>
  <c r="U57" i="1"/>
  <c r="U59" i="1" s="1"/>
  <c r="J58" i="1"/>
  <c r="J60" i="1" s="1"/>
  <c r="J57" i="1"/>
  <c r="J59" i="1" s="1"/>
  <c r="M58" i="1"/>
  <c r="M60" i="1" s="1"/>
  <c r="M57" i="1"/>
  <c r="M59" i="1" s="1"/>
  <c r="K58" i="1"/>
  <c r="K60" i="1" s="1"/>
  <c r="K57" i="1"/>
  <c r="K59" i="1" s="1"/>
  <c r="Q58" i="1"/>
  <c r="Q60" i="1" s="1"/>
  <c r="Q57" i="1"/>
  <c r="Q59" i="1" s="1"/>
  <c r="P58" i="1"/>
  <c r="P60" i="1" s="1"/>
  <c r="P57" i="1"/>
  <c r="P59" i="1" s="1"/>
  <c r="Y57" i="1"/>
  <c r="Y59" i="1" s="1"/>
  <c r="O58" i="1"/>
  <c r="O60" i="1" s="1"/>
  <c r="O57" i="1"/>
  <c r="O59" i="1" s="1"/>
  <c r="W57" i="1"/>
  <c r="W59" i="1" s="1"/>
  <c r="W58" i="1"/>
  <c r="W60" i="1" s="1"/>
  <c r="X58" i="1"/>
  <c r="X60" i="1" s="1"/>
  <c r="X57" i="1"/>
  <c r="X59" i="1" s="1"/>
  <c r="T58" i="1"/>
  <c r="T60" i="1" s="1"/>
  <c r="T57" i="1"/>
  <c r="T59" i="1" s="1"/>
  <c r="N58" i="1"/>
  <c r="N60" i="1" s="1"/>
  <c r="N57" i="1"/>
  <c r="N59" i="1" s="1"/>
  <c r="Z58" i="1"/>
  <c r="Z60" i="1" s="1"/>
  <c r="Z57" i="1"/>
  <c r="Z59" i="1" s="1"/>
  <c r="L58" i="1"/>
  <c r="L60" i="1" s="1"/>
  <c r="L57" i="1"/>
  <c r="L59" i="1" s="1"/>
  <c r="F34" i="2"/>
  <c r="F33" i="2"/>
  <c r="F31" i="2"/>
  <c r="F32" i="2"/>
  <c r="J31" i="2"/>
  <c r="J32" i="2"/>
  <c r="J34" i="2"/>
  <c r="P21" i="1" l="1"/>
  <c r="P20" i="1"/>
  <c r="P11" i="1"/>
  <c r="P12" i="1"/>
  <c r="C20" i="4" l="1"/>
  <c r="Y31" i="2"/>
  <c r="Y30" i="2"/>
</calcChain>
</file>

<file path=xl/sharedStrings.xml><?xml version="1.0" encoding="utf-8"?>
<sst xmlns="http://schemas.openxmlformats.org/spreadsheetml/2006/main" count="894" uniqueCount="410">
  <si>
    <t>NH4-N</t>
  </si>
  <si>
    <t>NO3-N</t>
  </si>
  <si>
    <t>P2O5</t>
  </si>
  <si>
    <t>K2O</t>
  </si>
  <si>
    <t>CaO</t>
  </si>
  <si>
    <t>MgO</t>
  </si>
  <si>
    <t>Na2O</t>
  </si>
  <si>
    <t>SO4</t>
  </si>
  <si>
    <t>Fe</t>
  </si>
  <si>
    <t>Mn</t>
  </si>
  <si>
    <t>Cu</t>
  </si>
  <si>
    <t>Zn</t>
  </si>
  <si>
    <t>B</t>
  </si>
  <si>
    <t>Mo</t>
  </si>
  <si>
    <t>Cl</t>
  </si>
  <si>
    <t>SiO2</t>
  </si>
  <si>
    <t>CO3</t>
  </si>
  <si>
    <t>mg/L</t>
  </si>
  <si>
    <t>Litermenge hier eintragen =</t>
  </si>
  <si>
    <t>mg=</t>
  </si>
  <si>
    <t>Ammonium in NH4=</t>
  </si>
  <si>
    <t>g=</t>
  </si>
  <si>
    <t>Nitrit in NO2=</t>
  </si>
  <si>
    <t>Nitrat in NO3=</t>
  </si>
  <si>
    <t>Phosphat in PO4=</t>
  </si>
  <si>
    <t>Kalium in K=</t>
  </si>
  <si>
    <t>Faktor</t>
  </si>
  <si>
    <t>Calcium in Ca=</t>
  </si>
  <si>
    <t>Bei 18°=</t>
  </si>
  <si>
    <t xml:space="preserve">mS/cm </t>
  </si>
  <si>
    <t>Magnesium in Mg=</t>
  </si>
  <si>
    <t>Bei 25°=</t>
  </si>
  <si>
    <t xml:space="preserve">NH4 </t>
  </si>
  <si>
    <t>Natrium in Na=</t>
  </si>
  <si>
    <t>50/50 = 2 ; 75/25 = 4 usw.</t>
  </si>
  <si>
    <t>NO3</t>
  </si>
  <si>
    <t>Sulfat in SO4=</t>
  </si>
  <si>
    <t>NO2-N</t>
  </si>
  <si>
    <t>NO2</t>
  </si>
  <si>
    <t>Eisen in Fe=</t>
  </si>
  <si>
    <t>Mangan in Mn=</t>
  </si>
  <si>
    <t>NH4</t>
  </si>
  <si>
    <t>Kupfer in Cu=</t>
  </si>
  <si>
    <t>PO4</t>
  </si>
  <si>
    <t>Zink in Zn=</t>
  </si>
  <si>
    <t>Weitere Informationen</t>
  </si>
  <si>
    <t>P</t>
  </si>
  <si>
    <t>Bor in B=</t>
  </si>
  <si>
    <t>K</t>
  </si>
  <si>
    <t>Molybdän in Mo=</t>
  </si>
  <si>
    <t>Ca</t>
  </si>
  <si>
    <t>Chlorid in Cl=</t>
  </si>
  <si>
    <t>Mg</t>
  </si>
  <si>
    <t>Silicium in SiO2=</t>
  </si>
  <si>
    <t>Na</t>
  </si>
  <si>
    <t>S</t>
  </si>
  <si>
    <t>CaCO3</t>
  </si>
  <si>
    <t>dH°</t>
  </si>
  <si>
    <t>HCO3</t>
  </si>
  <si>
    <t>mmol/L</t>
  </si>
  <si>
    <t>PO4-³</t>
  </si>
  <si>
    <t>K+</t>
  </si>
  <si>
    <t>Ca+²</t>
  </si>
  <si>
    <t>Mg+²</t>
  </si>
  <si>
    <t>Na+</t>
  </si>
  <si>
    <t>Fe+²</t>
  </si>
  <si>
    <t>Mn+</t>
  </si>
  <si>
    <t>Cu+²</t>
  </si>
  <si>
    <t>Zn+²</t>
  </si>
  <si>
    <t>Cl-</t>
  </si>
  <si>
    <t>HCO3-</t>
  </si>
  <si>
    <t>Umrechnungsfaktor</t>
  </si>
  <si>
    <t>Molare Masse</t>
  </si>
  <si>
    <t>Stoffmenge in mol</t>
  </si>
  <si>
    <t>Stoffmengenkonzentration in mol/L</t>
  </si>
  <si>
    <t>Ionenladung z</t>
  </si>
  <si>
    <t>Äqui. Stoffmengenkonzentration ceq in mol/L</t>
  </si>
  <si>
    <t>Äqui.Grenzleitfähigkeit 18°  [S cm2 mol-1]</t>
  </si>
  <si>
    <t>Äqui.Grenzleitfähigkeit 25°   [S cm2 mol-1]</t>
  </si>
  <si>
    <t>Leitwert bei 18° mS/cm</t>
  </si>
  <si>
    <t>Leitwert bei 25° mS/cm</t>
  </si>
  <si>
    <t>NH4+</t>
  </si>
  <si>
    <t>NO3-</t>
  </si>
  <si>
    <t>Phosphoranteil aus PO4-P=</t>
  </si>
  <si>
    <t>Primärnährstoffe</t>
  </si>
  <si>
    <t>Sekundärnährstoffe</t>
  </si>
  <si>
    <t>Schwefelanteil aus SO4-S=</t>
  </si>
  <si>
    <t>Spurennährstoffe</t>
  </si>
  <si>
    <t>Umrechnungen für das Zusammenführen von Wasser und Dünger</t>
  </si>
  <si>
    <t>Säurebasekapazität Ks4,3=</t>
  </si>
  <si>
    <t xml:space="preserve">Dieser Rechner basiert auf den Werten eines Hanna HI83399 Multiparameter-CSB-Photometer, aber auch auf die handelsüblichen Werteangaben eines Wasseranbieters. </t>
  </si>
  <si>
    <t>Siliciumanteil aus SiO2-Si=</t>
  </si>
  <si>
    <t>Hydrogencarbonate in HCO3=</t>
  </si>
  <si>
    <t>fH°</t>
  </si>
  <si>
    <t>Gesamtcarbonathärte in CaCO3=</t>
  </si>
  <si>
    <t>geg.</t>
  </si>
  <si>
    <t>ges.</t>
  </si>
  <si>
    <t>Mol. Masse</t>
  </si>
  <si>
    <t>Stoff</t>
  </si>
  <si>
    <t xml:space="preserve">Mo </t>
  </si>
  <si>
    <t>M/M</t>
  </si>
  <si>
    <t>Umrechnung Wasser</t>
  </si>
  <si>
    <t>N</t>
  </si>
  <si>
    <t xml:space="preserve">P </t>
  </si>
  <si>
    <t xml:space="preserve">Si </t>
  </si>
  <si>
    <t>Si</t>
  </si>
  <si>
    <t>KS4,3</t>
  </si>
  <si>
    <t>1 fH°</t>
  </si>
  <si>
    <t>Carbonathärte in KH°=</t>
  </si>
  <si>
    <t>1 dH°</t>
  </si>
  <si>
    <t>Reinstnährstoffe</t>
  </si>
  <si>
    <t>N-Ges</t>
  </si>
  <si>
    <t xml:space="preserve">K </t>
  </si>
  <si>
    <t xml:space="preserve">Ca </t>
  </si>
  <si>
    <t xml:space="preserve">Mg </t>
  </si>
  <si>
    <t xml:space="preserve">Na </t>
  </si>
  <si>
    <t xml:space="preserve">S </t>
  </si>
  <si>
    <t xml:space="preserve">C </t>
  </si>
  <si>
    <t>C</t>
  </si>
  <si>
    <t>ppm</t>
  </si>
  <si>
    <t xml:space="preserve"> Nr.</t>
  </si>
  <si>
    <t>Dünger Name</t>
  </si>
  <si>
    <t>Form</t>
  </si>
  <si>
    <t>Düngername</t>
  </si>
  <si>
    <t>Dichte in g</t>
  </si>
  <si>
    <t>Merkmale / Beschreibung</t>
  </si>
  <si>
    <t>(AA) Kein Dünger</t>
  </si>
  <si>
    <t>Zero</t>
  </si>
  <si>
    <t>Bittersalz OBI Baumarkt</t>
  </si>
  <si>
    <t>Pulver</t>
  </si>
  <si>
    <t>Schwefel / Magnesium</t>
  </si>
  <si>
    <t>Flüssig</t>
  </si>
  <si>
    <t>Magnesium / Schwefel</t>
  </si>
  <si>
    <t>Canna Mono Calcium 15% Ca</t>
  </si>
  <si>
    <t>Calcium</t>
  </si>
  <si>
    <t>Canna Mono Magnesium 7% MgO</t>
  </si>
  <si>
    <t>Compo Hakaphos Blau 15-10-15</t>
  </si>
  <si>
    <t>NPK Dünger / viel NH4</t>
  </si>
  <si>
    <t>Compo Hakaphos Soft Basis3 3-15-36</t>
  </si>
  <si>
    <t>NPK Dünger / wenig NH4</t>
  </si>
  <si>
    <t>Compo Hakaphos Soft Basis5 5-20-30</t>
  </si>
  <si>
    <t>Compo Hakaphos Soft Novell 11-11-30</t>
  </si>
  <si>
    <t>NPK Dünger /wenig NH4</t>
  </si>
  <si>
    <t>Compo Hakaphos Soft Spezial 16-7-22</t>
  </si>
  <si>
    <t>Manna MPK Monokaliumphospat</t>
  </si>
  <si>
    <t>Phosphor / Kalium</t>
  </si>
  <si>
    <t>Phosphorsäure 15%</t>
  </si>
  <si>
    <t>ph-Minus / Phosphor</t>
  </si>
  <si>
    <t>Planta Ferty 4 Mega 10-20-30</t>
  </si>
  <si>
    <t>S3 Kaliwasser 28 Be</t>
  </si>
  <si>
    <t>Kalium /Silcate</t>
  </si>
  <si>
    <t>pH-Minus / Schwefelsäure</t>
  </si>
  <si>
    <t>N-CaO Dünger /wenig NH4</t>
  </si>
  <si>
    <t>Dichte</t>
  </si>
  <si>
    <t>Nr.</t>
  </si>
  <si>
    <t>Menge eingeben</t>
  </si>
  <si>
    <t>Von / Zu</t>
  </si>
  <si>
    <t>IST</t>
  </si>
  <si>
    <t>MIN</t>
  </si>
  <si>
    <t>MAX</t>
  </si>
  <si>
    <t>Auswahl der Düngerkomponenten</t>
  </si>
  <si>
    <t>Nährstoffmenge auf Literangaben in Düngerform</t>
  </si>
  <si>
    <t>Nährstoffmenge auf Literangaben in Reinstform</t>
  </si>
  <si>
    <t>Leitwert in Siemens</t>
  </si>
  <si>
    <t>Nährstoffmenge Dünger in g</t>
  </si>
  <si>
    <t>Nährstoffmenge Dünger &amp; Leitungswasser in g</t>
  </si>
  <si>
    <t xml:space="preserve">Mg zu Ca </t>
  </si>
  <si>
    <t xml:space="preserve">Na zu Mg </t>
  </si>
  <si>
    <t>Nährstoffverhältnisse in Reinstform</t>
  </si>
  <si>
    <t>Reinstform</t>
  </si>
  <si>
    <t>Reinst-Nährstoffmenge Dünger &amp; Leitungswasser in g</t>
  </si>
  <si>
    <t>Reinst-Nährstoffmenge Dünger &amp; Leitungswasser in mg</t>
  </si>
  <si>
    <t>N-Gesamt</t>
  </si>
  <si>
    <t>Reinst-Nährstoffmengen in Dr.Dina Ansicht</t>
  </si>
  <si>
    <t>S zu P</t>
  </si>
  <si>
    <t>Ca zu K</t>
  </si>
  <si>
    <t>∞</t>
  </si>
  <si>
    <t>Leitwertberechnung</t>
  </si>
  <si>
    <t>Leitwertberechnung verbessert</t>
  </si>
  <si>
    <t xml:space="preserve">ppm </t>
  </si>
  <si>
    <t>Litermenge</t>
  </si>
  <si>
    <t>Berechnungswege für jede Komponente</t>
  </si>
  <si>
    <t>Äqui. Stoffmengenko. ceq in mol/L Komp. 1</t>
  </si>
  <si>
    <t>Äqui. Stoffmengenko. ceq in mol/L Komp. 2</t>
  </si>
  <si>
    <t>Äqui. Stoffmengenko. ceq in mol/L Komp. 3</t>
  </si>
  <si>
    <t>Äqui. Stoffmengenko. ceq in mol/L Komp. 4</t>
  </si>
  <si>
    <t>Äqui. Stoffmengenko. ceq in mol/L Komp. 5</t>
  </si>
  <si>
    <t>Äqui. Stoffmengenko. ceq in mol/L Komp. 6</t>
  </si>
  <si>
    <t>Äqui. Stoffmengenko. ceq in mol/L Komp. 7</t>
  </si>
  <si>
    <t>Äqui. Stoffmengenko. ceq in mol/L Komp. 8</t>
  </si>
  <si>
    <t>Äqui. Stoffmengenko. ceq in mol/L Komp. 9</t>
  </si>
  <si>
    <t xml:space="preserve">Gesamte Äqui. Stoffmengenko. ceq in mol/L </t>
  </si>
  <si>
    <t>Faktor für die Feinjustierung des Leitwertes</t>
  </si>
  <si>
    <t>Faktor für Osmosewasserbenutzung</t>
  </si>
  <si>
    <t>z HSO4</t>
  </si>
  <si>
    <t>z Fe</t>
  </si>
  <si>
    <t>z HCO3</t>
  </si>
  <si>
    <t>Nichts</t>
  </si>
  <si>
    <t>z         Fe</t>
  </si>
  <si>
    <t>z    HPO4</t>
  </si>
  <si>
    <t>Name des Düngers</t>
  </si>
  <si>
    <t xml:space="preserve">NH4-N </t>
  </si>
  <si>
    <t xml:space="preserve">P2O5 </t>
  </si>
  <si>
    <t xml:space="preserve">K2O </t>
  </si>
  <si>
    <t xml:space="preserve">CaO </t>
  </si>
  <si>
    <t xml:space="preserve">MgO </t>
  </si>
  <si>
    <t>NaO2</t>
  </si>
  <si>
    <t>Gesammt % auf Litermenge</t>
  </si>
  <si>
    <t>Basis Ermittlungen in g</t>
  </si>
  <si>
    <t>Gesammt g</t>
  </si>
  <si>
    <t>B+</t>
  </si>
  <si>
    <t>Molare Masse der Stoffe in g/mol</t>
  </si>
  <si>
    <t>Ladungszahl des Stoffes</t>
  </si>
  <si>
    <t>Äquival. Stoffmengenkonz. in mol/L</t>
  </si>
  <si>
    <t>Grenzleitfähigkeit  [S cm2 mol-1] bei 25°C</t>
  </si>
  <si>
    <t xml:space="preserve"> Leitfähigkeit in mS/cm</t>
  </si>
  <si>
    <t>Leitwert Dünger in mS/cm bei 25°C</t>
  </si>
  <si>
    <t>Umrechnungen für Phosphor</t>
  </si>
  <si>
    <t>P zu P2O5</t>
  </si>
  <si>
    <t>Anteile in % bei 1g</t>
  </si>
  <si>
    <t>CaCO3 =</t>
  </si>
  <si>
    <t>Umrechnungen für Kalium</t>
  </si>
  <si>
    <t>MgCO3 =</t>
  </si>
  <si>
    <t>K zu K2O</t>
  </si>
  <si>
    <t>Gesammt CO3 % =</t>
  </si>
  <si>
    <t>Umrechnungen für Calcium</t>
  </si>
  <si>
    <t>Ca zu CaO</t>
  </si>
  <si>
    <t>Umrechnungen für Magnesium</t>
  </si>
  <si>
    <t>Mg zu MgO</t>
  </si>
  <si>
    <t>Umrechnungen für Schwefel</t>
  </si>
  <si>
    <t>S zu SO4</t>
  </si>
  <si>
    <t>SO3 zu SO4</t>
  </si>
  <si>
    <t>Dichte/Menge</t>
  </si>
  <si>
    <t>Umrechner für Dolomitkalk / Magnesiumkalk</t>
  </si>
  <si>
    <t>Säure</t>
  </si>
  <si>
    <t>Formel</t>
  </si>
  <si>
    <t>Dichte g/cm³</t>
  </si>
  <si>
    <t>Molare Masse g/mol</t>
  </si>
  <si>
    <t>Salpeter</t>
  </si>
  <si>
    <t>HNO3</t>
  </si>
  <si>
    <t>Phosphor</t>
  </si>
  <si>
    <t>H3PO4</t>
  </si>
  <si>
    <t>Schwefel</t>
  </si>
  <si>
    <t>H2SO4</t>
  </si>
  <si>
    <t>Sicherheitshinweise:</t>
  </si>
  <si>
    <t>Immer zuerst das destellierte Wasser, dann die Säure zuführen. Beim Kauf von höheren % der Salpetersäure auf bestimmte EU Vorschriften achten. Sicherheits und Schutmaßnahmen sollten im Umgang mit Säuren erlesen aber auch eingehalten werden!</t>
  </si>
  <si>
    <t xml:space="preserve"> Ausgangs % der Säure</t>
  </si>
  <si>
    <t>Säure ml hier eingeben</t>
  </si>
  <si>
    <t xml:space="preserve">ml/g mit Dichte </t>
  </si>
  <si>
    <t>Dest.Wasser-anteil in ml</t>
  </si>
  <si>
    <t>Prozent der Mischung</t>
  </si>
  <si>
    <t>Oder einfach Online berechnen gehen:</t>
  </si>
  <si>
    <t>https://www.bartelt.io/labtools/verduennungsrechner/</t>
  </si>
  <si>
    <t>Umwandlungen von Salpeter, Phosphor und Schwefelsäure passend für die Düngertabelle.</t>
  </si>
  <si>
    <t>Salpetersäure % von HNO3 =</t>
  </si>
  <si>
    <t>NO3 % =</t>
  </si>
  <si>
    <t>Phosphorsäure % von H3PO4 =</t>
  </si>
  <si>
    <t>P2O5 % =</t>
  </si>
  <si>
    <t>Schwefelsäure % von H2SO4 =</t>
  </si>
  <si>
    <t>SO4 % =</t>
  </si>
  <si>
    <t xml:space="preserve">Hier mal eine Version eines Säurermischers.. Danksagungen zur Unterstützung gehen an unseren Onlyone! </t>
  </si>
  <si>
    <t>Umrechnung  der Säuren</t>
  </si>
  <si>
    <t>Dieser Überprüfer dient zur Wertigkeitsanalyse eures Düngemittels. Hierzu werden Faktoren für eine verfeinerte Leitwertberechnung ermittelt und somit an die letzten Stellen in die Düngertabelle eingegeben. Bei Phosphor,Schwefel,Eisen aber auch den Carbonaten kann es zu starken Abweichungen kommen, daher solltet ihr die Düngermittel vorher überprüfen.</t>
  </si>
  <si>
    <t>Mn zu Fe</t>
  </si>
  <si>
    <t>Cu zu Fe</t>
  </si>
  <si>
    <t>Zn zu Fe</t>
  </si>
  <si>
    <t>variabel</t>
  </si>
  <si>
    <t>B zu Fe</t>
  </si>
  <si>
    <t>Mo zu Fe</t>
  </si>
  <si>
    <t>Reinst-Nährstoffangaben auf einem Liter in %</t>
  </si>
  <si>
    <t>Düngerangaben auf einem Liter in %</t>
  </si>
  <si>
    <t>Reinst-Nähstoffmenge auf Gesamtlitermenge in %</t>
  </si>
  <si>
    <t>Düngermenge auf Gesamtlitermenge in %</t>
  </si>
  <si>
    <t>P zu N-Ges</t>
  </si>
  <si>
    <t>Cl zu S</t>
  </si>
  <si>
    <t>Nährelement</t>
  </si>
  <si>
    <t>hemmt</t>
  </si>
  <si>
    <t>fördert</t>
  </si>
  <si>
    <t>Phosphat</t>
  </si>
  <si>
    <t>Magnesium</t>
  </si>
  <si>
    <t>Kalium</t>
  </si>
  <si>
    <t>Stickstoff (Ammonium)</t>
  </si>
  <si>
    <t>Sulfat</t>
  </si>
  <si>
    <t>Ammonium</t>
  </si>
  <si>
    <t>Nitrat</t>
  </si>
  <si>
    <t>Natrium</t>
  </si>
  <si>
    <t>Chlorid</t>
  </si>
  <si>
    <t>Eisen</t>
  </si>
  <si>
    <t>Mangan</t>
  </si>
  <si>
    <t>Von praktischer Bedeutung sind folgende Nährstoffverhältnisse für einen Ionenantagonismus:</t>
  </si>
  <si>
    <t>K/Mg</t>
  </si>
  <si>
    <t>P/Fe</t>
  </si>
  <si>
    <t>Mn/Mg</t>
  </si>
  <si>
    <t>Cu/Mn</t>
  </si>
  <si>
    <t>Zn/Fe</t>
  </si>
  <si>
    <t>K/Ca</t>
  </si>
  <si>
    <t>P/Zn</t>
  </si>
  <si>
    <t>Mn/Fe</t>
  </si>
  <si>
    <t>Cu/Fe</t>
  </si>
  <si>
    <t>Ni/Fe</t>
  </si>
  <si>
    <t>K/Na</t>
  </si>
  <si>
    <t>P/Al</t>
  </si>
  <si>
    <t>Mn/Mo</t>
  </si>
  <si>
    <t>Cu/Mo</t>
  </si>
  <si>
    <t>Cr/Fe</t>
  </si>
  <si>
    <t>K/B</t>
  </si>
  <si>
    <t>Mn/Zn</t>
  </si>
  <si>
    <t>Cu/Zn</t>
  </si>
  <si>
    <t>NH4/K</t>
  </si>
  <si>
    <t>NH4/Ca</t>
  </si>
  <si>
    <t>NH4/Mg</t>
  </si>
  <si>
    <t>SO4/Mo</t>
  </si>
  <si>
    <t>Stickstoff (Nitrat)</t>
  </si>
  <si>
    <t>Auszug aus dem Hortipendium Quelle: http://www.hortipendium.de/N%C3%A4hrelemente_und_ihr_Verhalten_im_Boden</t>
  </si>
  <si>
    <t>Kationen +</t>
  </si>
  <si>
    <t>Anionen -</t>
  </si>
  <si>
    <t xml:space="preserve">Leitwert in Siemens </t>
  </si>
  <si>
    <t>Reinst / EC Umrechnung</t>
  </si>
  <si>
    <t>SO4-²</t>
  </si>
  <si>
    <t>MoO4-²</t>
  </si>
  <si>
    <t>MoO4</t>
  </si>
  <si>
    <t>Dünger und Wasserleitwert in mS/cm bei 25°C</t>
  </si>
  <si>
    <t>z PO4</t>
  </si>
  <si>
    <t>z SO4</t>
  </si>
  <si>
    <t>HPO4²</t>
  </si>
  <si>
    <t>H2PO4-</t>
  </si>
  <si>
    <t>Mittelwert</t>
  </si>
  <si>
    <t>Compo Hakaphos Rot 8-12-24</t>
  </si>
  <si>
    <t xml:space="preserve">TDS bei 18° in ppm </t>
  </si>
  <si>
    <t xml:space="preserve">TDS bei 25° in ppm </t>
  </si>
  <si>
    <t xml:space="preserve"> TDS ppm Faktoren</t>
  </si>
  <si>
    <t>Region</t>
  </si>
  <si>
    <t>Regionale TDS Vorauswahl</t>
  </si>
  <si>
    <t xml:space="preserve">Leitwert in TDS </t>
  </si>
  <si>
    <t>Leitwert in TDS</t>
  </si>
  <si>
    <t>Hier gibt es nochmal kleinere Umrechnungen falls ein Düngemittel andere Angaben besitzt. Allerdings ist der Dolomitumrechner noch in der Beta Phase, also einfach mal ausprobieren, denn ich konnte ihn nicht prüfen da Dolo in meiner Sammlung fehlt.</t>
  </si>
  <si>
    <t>USA  Hanna / Milwaukee</t>
  </si>
  <si>
    <t>EU  Eutech</t>
  </si>
  <si>
    <t>AUSTRAL  Truncheon</t>
  </si>
  <si>
    <t>Mittelwert =</t>
  </si>
  <si>
    <t>0 bis 1</t>
  </si>
  <si>
    <t>Carbonate (nur eines davon ausfüllen, wenn mehrere Angaben genannt sind)</t>
  </si>
  <si>
    <t>Phosphor Λ0eq,i [S cm2/mol]</t>
  </si>
  <si>
    <t xml:space="preserve">Yara Calcinit Kalksalpeter </t>
  </si>
  <si>
    <t>Fe zu Si</t>
  </si>
  <si>
    <t xml:space="preserve">Die Milliliter an Säure zur Verdünnung muss hier ermittelt werden! </t>
  </si>
  <si>
    <t>Erstellung in ml hier eingeben</t>
  </si>
  <si>
    <t>Beim Kauf eher auf hochprozentige Säuren tendieren, die meisten sind unsauber gemischt!</t>
  </si>
  <si>
    <t xml:space="preserve">Leitwertberechnung </t>
  </si>
  <si>
    <t>Ca &amp; K</t>
  </si>
  <si>
    <t>Ca &amp; Mg</t>
  </si>
  <si>
    <t>Max Verhältnis</t>
  </si>
  <si>
    <t>Vorang + Mittelwert</t>
  </si>
  <si>
    <t>Mg &amp; K</t>
  </si>
  <si>
    <t>Zwischen</t>
  </si>
  <si>
    <t>P &amp; S</t>
  </si>
  <si>
    <t>NO3-N &amp; P</t>
  </si>
  <si>
    <t>Ein Beispiel um Verhältnisse rauszufinde</t>
  </si>
  <si>
    <t>Die Dichte bitte vorher nochmal abwiegen, aber normal dürfte 1ml auch 1 bis 1,1g sein.                           Die Faktoren z der Wertigkeit für PO4 ist 3,5 und für SO4 gleich 2.</t>
  </si>
  <si>
    <t>Stickstoffanteil in NO3-N=</t>
  </si>
  <si>
    <t>Stickstoffanteil in NH4-N=</t>
  </si>
  <si>
    <t>Stickstoffanteil in NO2-N=</t>
  </si>
  <si>
    <t>Plus/ Minus in 0,05 Schritten</t>
  </si>
  <si>
    <t>Hier die DIN Wasserwerte vom Anbieter in mg/L oder mmol/L eingeben</t>
  </si>
  <si>
    <t>Canna Aqua Vega A</t>
  </si>
  <si>
    <t>Canna Aqua Vega B</t>
  </si>
  <si>
    <t>Canna Aqua Flores A</t>
  </si>
  <si>
    <t>Canna Aqua Flores B</t>
  </si>
  <si>
    <t>Canna CALMAG Agent</t>
  </si>
  <si>
    <t>Umrechnungen für Harnstoff</t>
  </si>
  <si>
    <t>CH4N2O zu NH4</t>
  </si>
  <si>
    <t>CH4N2O</t>
  </si>
  <si>
    <t>Canna Rhizotonic</t>
  </si>
  <si>
    <t>Canna Cannazym</t>
  </si>
  <si>
    <t>Canna PK 13/14</t>
  </si>
  <si>
    <t>Umrechnungen für Natrium</t>
  </si>
  <si>
    <t>Na zu Na2O2</t>
  </si>
  <si>
    <t>Canna Aqua Vega 0,9 EC</t>
  </si>
  <si>
    <t xml:space="preserve">Schema </t>
  </si>
  <si>
    <t>Canna Aqua Vega 1,2 EC</t>
  </si>
  <si>
    <t>Auf 10L Osmosewasser</t>
  </si>
  <si>
    <t>Canna Aqua Vega 1,5 EC</t>
  </si>
  <si>
    <t>6xCalMag, 6xA, 6xB, 10xRhiz, 10xZym, ohne Säure</t>
  </si>
  <si>
    <t>7,5xCalMag, 9xA, 9xB, 15xRhiz, 15xZym, ohne Säure</t>
  </si>
  <si>
    <t>9xCalMag, 12xA, 12xB, 20xRhiz, 20xZym, ohne Säure</t>
  </si>
  <si>
    <t>Beschreibung in ml oder g</t>
  </si>
  <si>
    <t>Biolchem Microfol Combi</t>
  </si>
  <si>
    <t>Humintech BioHealth WSG TH BS</t>
  </si>
  <si>
    <t>Trichoderma &amp; Bacillus Strains</t>
  </si>
  <si>
    <t>Humintech Fulvital Plus Liquid</t>
  </si>
  <si>
    <t>Aminosäure &amp; Spurennährstoffe</t>
  </si>
  <si>
    <t>Biostimulation &amp; Spurennährstoffe</t>
  </si>
  <si>
    <t>Humintech Amino Power Plus Liquid</t>
  </si>
  <si>
    <t>Muss noch überprüft werden</t>
  </si>
  <si>
    <t>?</t>
  </si>
  <si>
    <t>Biolchem Eisenchelat 13% EDTA</t>
  </si>
  <si>
    <t>Eisendünger</t>
  </si>
  <si>
    <t>EC auf 1L Dest.Wasser 20°C</t>
  </si>
  <si>
    <t>1 ; 2 ; 3,5</t>
  </si>
  <si>
    <t>1,5 ; 2</t>
  </si>
  <si>
    <t>2 ; 3</t>
  </si>
  <si>
    <t>Kushis mg</t>
  </si>
  <si>
    <t>Schwefelsäure Akkumulator 37,5%</t>
  </si>
  <si>
    <t>EC =</t>
  </si>
  <si>
    <t>Kushis WW3 bis BW3</t>
  </si>
  <si>
    <t>Kushis BW3 bis BW5</t>
  </si>
  <si>
    <t>Kushis BW6 bis BW8</t>
  </si>
  <si>
    <t>Kushis BW8 bis Ende</t>
  </si>
  <si>
    <t>Kushis Start bis WW3</t>
  </si>
  <si>
    <t>Nächstes Schema von mir auf 10L Ausgangswasser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</si>
</sst>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0%"/>
    <numFmt numFmtId="166" formatCode="0.0"/>
    <numFmt numFmtId="167" formatCode="0.000%"/>
    <numFmt numFmtId="168" formatCode="#,##0.000"/>
    <numFmt numFmtId="169" formatCode="0.0000"/>
    <numFmt numFmtId="170" formatCode="_-* #,##0\ _€_-;\-* #,##0\ _€_-;_-* &quot;-&quot;??\ _€_-;_-@_-"/>
  </numFmts>
  <fonts count="10" x14ac:knownFonts="1">
    <font>
      <sz val="11"/>
      <color theme="1"/>
      <name val="Calibri"/>
      <family val="2"/>
      <scheme val="minor"/>
    </font>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3F3F76"/>
      <name val="Calibri"/>
      <family val="2"/>
      <scheme val="minor"/>
    </font>
    <font>
      <sz val="8"/>
      <name val="Calibri"/>
      <family val="2"/>
      <scheme val="minor"/>
    </font>
    <font>
      <u/>
      <sz val="11"/>
      <color theme="10"/>
      <name val="Calibri"/>
      <family val="2"/>
      <scheme val="minor"/>
    </font>
    <font>
      <b/>
      <sz val="11"/>
      <name val="Calibri"/>
      <family val="2"/>
      <scheme val="minor"/>
    </font>
  </fonts>
  <fills count="20">
    <fill>
      <patternFill patternType="none"/>
    </fill>
    <fill>
      <patternFill patternType="gray125"/>
    </fill>
    <fill>
      <patternFill patternType="solid">
        <fgColor rgb="FFFFCC99"/>
      </patternFill>
    </fill>
    <fill>
      <patternFill patternType="solid">
        <fgColor theme="4"/>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0" tint="-0.14999847407452621"/>
        <bgColor indexed="64"/>
      </patternFill>
    </fill>
    <fill>
      <patternFill patternType="solid">
        <fgColor theme="5" tint="0.39997558519241921"/>
        <bgColor indexed="65"/>
      </patternFill>
    </fill>
    <fill>
      <patternFill patternType="solid">
        <fgColor theme="4" tint="0.79998168889431442"/>
        <bgColor theme="4" tint="0.79998168889431442"/>
      </patternFill>
    </fill>
    <fill>
      <patternFill patternType="solid">
        <fgColor theme="4" tint="0.59999389629810485"/>
        <bgColor indexed="65"/>
      </patternFill>
    </fill>
    <fill>
      <patternFill patternType="solid">
        <fgColor theme="7" tint="0.59999389629810485"/>
        <bgColor indexed="65"/>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indexed="64"/>
      </top>
      <bottom/>
      <diagonal/>
    </border>
    <border>
      <left/>
      <right/>
      <top/>
      <bottom style="thin">
        <color indexed="64"/>
      </bottom>
      <diagonal/>
    </border>
  </borders>
  <cellStyleXfs count="18">
    <xf numFmtId="0" fontId="0" fillId="0" borderId="0"/>
    <xf numFmtId="0" fontId="2" fillId="2" borderId="1" applyNumberFormat="0" applyAlignment="0" applyProtection="0"/>
    <xf numFmtId="0" fontId="5"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cellStyleXfs>
  <cellXfs count="259">
    <xf numFmtId="0" fontId="0" fillId="0" borderId="0" xfId="0"/>
    <xf numFmtId="0" fontId="6" fillId="2" borderId="2" xfId="1" applyFont="1" applyBorder="1" applyAlignment="1">
      <alignment horizontal="center" vertical="center"/>
    </xf>
    <xf numFmtId="0" fontId="6" fillId="2" borderId="1" xfId="1" applyFont="1" applyAlignment="1">
      <alignment horizontal="center" vertical="center"/>
    </xf>
    <xf numFmtId="2" fontId="4" fillId="7" borderId="2" xfId="6" applyNumberFormat="1" applyFont="1" applyBorder="1" applyAlignment="1">
      <alignment horizontal="center" vertical="center"/>
    </xf>
    <xf numFmtId="0" fontId="4" fillId="7" borderId="2" xfId="6" applyFont="1" applyBorder="1" applyAlignment="1">
      <alignment horizontal="center" vertical="center"/>
    </xf>
    <xf numFmtId="3" fontId="0" fillId="0" borderId="0" xfId="0" applyNumberFormat="1"/>
    <xf numFmtId="0" fontId="4" fillId="8" borderId="2" xfId="5" applyFont="1" applyFill="1" applyBorder="1" applyAlignment="1">
      <alignment horizontal="center" vertical="center"/>
    </xf>
    <xf numFmtId="0" fontId="4" fillId="8" borderId="2" xfId="0" applyFont="1" applyFill="1" applyBorder="1" applyAlignment="1">
      <alignment horizontal="center" vertical="center"/>
    </xf>
    <xf numFmtId="0" fontId="4" fillId="8" borderId="2" xfId="0" applyFont="1" applyFill="1" applyBorder="1"/>
    <xf numFmtId="0" fontId="0" fillId="0" borderId="0" xfId="0" applyAlignment="1"/>
    <xf numFmtId="0" fontId="4" fillId="9" borderId="2" xfId="0" applyFont="1" applyFill="1" applyBorder="1" applyAlignment="1">
      <alignment horizontal="center" vertical="center"/>
    </xf>
    <xf numFmtId="0" fontId="4" fillId="9" borderId="2" xfId="5" applyFont="1" applyFill="1" applyBorder="1" applyAlignment="1">
      <alignment horizontal="center" vertical="center"/>
    </xf>
    <xf numFmtId="164" fontId="4" fillId="7" borderId="2" xfId="6" applyNumberFormat="1" applyFont="1" applyBorder="1" applyAlignment="1">
      <alignment horizontal="center" vertical="center"/>
    </xf>
    <xf numFmtId="1" fontId="4" fillId="7" borderId="2" xfId="6" applyNumberFormat="1" applyFont="1" applyBorder="1" applyAlignment="1">
      <alignment horizontal="center" vertical="center"/>
    </xf>
    <xf numFmtId="2" fontId="3" fillId="3" borderId="2" xfId="2" applyNumberFormat="1" applyFont="1" applyBorder="1" applyAlignment="1">
      <alignment horizontal="center" vertical="center"/>
    </xf>
    <xf numFmtId="0" fontId="3" fillId="3" borderId="2" xfId="2" applyFont="1" applyBorder="1" applyAlignment="1">
      <alignment horizontal="center" vertical="center"/>
    </xf>
    <xf numFmtId="0" fontId="6" fillId="2" borderId="2" xfId="1" applyFont="1" applyBorder="1" applyAlignment="1">
      <alignment horizontal="center" vertical="center"/>
    </xf>
    <xf numFmtId="0" fontId="4" fillId="7" borderId="2" xfId="6" applyFont="1" applyBorder="1" applyAlignment="1">
      <alignment horizontal="center" vertical="center"/>
    </xf>
    <xf numFmtId="0" fontId="4" fillId="6" borderId="2" xfId="5" applyFont="1" applyBorder="1" applyAlignment="1">
      <alignment horizontal="center" vertical="center"/>
    </xf>
    <xf numFmtId="0" fontId="4" fillId="7" borderId="2" xfId="6" applyFont="1" applyBorder="1" applyAlignment="1">
      <alignment horizontal="center" vertical="center"/>
    </xf>
    <xf numFmtId="2" fontId="4" fillId="7" borderId="2" xfId="6" applyNumberFormat="1" applyFont="1" applyBorder="1" applyAlignment="1">
      <alignment horizontal="center" vertical="center"/>
    </xf>
    <xf numFmtId="0" fontId="6" fillId="2" borderId="2" xfId="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165" fontId="4" fillId="0" borderId="2" xfId="7" applyNumberFormat="1" applyFont="1" applyBorder="1" applyAlignment="1">
      <alignment horizontal="center" vertical="center"/>
    </xf>
    <xf numFmtId="10" fontId="4" fillId="0" borderId="2" xfId="7" applyNumberFormat="1" applyFont="1" applyBorder="1" applyAlignment="1">
      <alignment horizontal="center" vertical="center"/>
    </xf>
    <xf numFmtId="0" fontId="3" fillId="3" borderId="4" xfId="2"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165" fontId="4" fillId="0" borderId="4" xfId="7" applyNumberFormat="1" applyFont="1" applyBorder="1" applyAlignment="1">
      <alignment horizontal="center" vertical="center"/>
    </xf>
    <xf numFmtId="165" fontId="4" fillId="0" borderId="3" xfId="7" applyNumberFormat="1" applyFont="1" applyBorder="1" applyAlignment="1">
      <alignment horizontal="center" vertical="center"/>
    </xf>
    <xf numFmtId="10" fontId="4" fillId="0" borderId="4" xfId="7" applyNumberFormat="1" applyFont="1" applyBorder="1" applyAlignment="1">
      <alignment horizontal="center" vertical="center"/>
    </xf>
    <xf numFmtId="10" fontId="4" fillId="0" borderId="3" xfId="7" applyNumberFormat="1" applyFont="1" applyBorder="1" applyAlignment="1">
      <alignment horizontal="center" vertical="center"/>
    </xf>
    <xf numFmtId="0" fontId="4" fillId="0" borderId="0" xfId="0" applyFont="1"/>
    <xf numFmtId="0" fontId="4" fillId="6" borderId="2" xfId="5" applyFont="1" applyBorder="1" applyAlignment="1">
      <alignment horizontal="center"/>
    </xf>
    <xf numFmtId="0" fontId="4" fillId="12" borderId="2" xfId="10" applyFont="1" applyBorder="1" applyAlignment="1">
      <alignment horizontal="center" vertical="center"/>
    </xf>
    <xf numFmtId="165" fontId="4" fillId="6" borderId="2" xfId="5" applyNumberFormat="1" applyFont="1" applyBorder="1" applyAlignment="1">
      <alignment horizontal="center" vertical="center"/>
    </xf>
    <xf numFmtId="10" fontId="4" fillId="6" borderId="2" xfId="5" applyNumberFormat="1" applyFont="1" applyBorder="1" applyAlignment="1">
      <alignment horizontal="center" vertical="center"/>
    </xf>
    <xf numFmtId="165" fontId="4" fillId="12" borderId="2" xfId="10" applyNumberFormat="1" applyFont="1" applyBorder="1" applyAlignment="1">
      <alignment horizontal="center" vertical="center"/>
    </xf>
    <xf numFmtId="10" fontId="4" fillId="12" borderId="2" xfId="10" applyNumberFormat="1"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0" fontId="4" fillId="12" borderId="2" xfId="10" applyFont="1" applyBorder="1" applyAlignment="1">
      <alignment horizontal="center"/>
    </xf>
    <xf numFmtId="0" fontId="4" fillId="14" borderId="8" xfId="12" applyFont="1" applyBorder="1" applyAlignment="1">
      <alignment horizontal="center" vertical="center"/>
    </xf>
    <xf numFmtId="0" fontId="4" fillId="10" borderId="2" xfId="8" applyFont="1" applyBorder="1" applyAlignment="1">
      <alignment horizontal="center" vertical="center"/>
    </xf>
    <xf numFmtId="165" fontId="4" fillId="7" borderId="2" xfId="7" applyNumberFormat="1" applyFont="1" applyFill="1" applyBorder="1" applyAlignment="1">
      <alignment horizontal="center" vertical="center"/>
    </xf>
    <xf numFmtId="164" fontId="4" fillId="6" borderId="2" xfId="5" applyNumberFormat="1" applyFont="1" applyBorder="1" applyAlignment="1">
      <alignment horizontal="center" vertical="center"/>
    </xf>
    <xf numFmtId="0" fontId="4" fillId="6" borderId="2" xfId="5" applyFont="1" applyBorder="1" applyAlignment="1">
      <alignment horizontal="center" vertical="center"/>
    </xf>
    <xf numFmtId="0" fontId="4" fillId="0" borderId="2" xfId="0" applyFont="1" applyBorder="1" applyAlignment="1">
      <alignment horizontal="center" vertical="center"/>
    </xf>
    <xf numFmtId="0" fontId="4" fillId="11" borderId="2" xfId="9" applyFont="1" applyBorder="1" applyAlignment="1">
      <alignment horizontal="center" vertical="center"/>
    </xf>
    <xf numFmtId="164" fontId="4" fillId="11" borderId="2" xfId="9" applyNumberFormat="1" applyFont="1" applyBorder="1" applyAlignment="1">
      <alignment horizontal="center" vertical="center"/>
    </xf>
    <xf numFmtId="4" fontId="4" fillId="11" borderId="2" xfId="9" applyNumberFormat="1" applyFont="1" applyBorder="1" applyAlignment="1">
      <alignment horizontal="center" vertical="center"/>
    </xf>
    <xf numFmtId="0" fontId="3" fillId="3" borderId="2" xfId="2" applyFont="1" applyFill="1" applyBorder="1" applyAlignment="1">
      <alignment horizontal="left" vertical="center"/>
    </xf>
    <xf numFmtId="0" fontId="4" fillId="17" borderId="13" xfId="0" applyFont="1" applyFill="1" applyBorder="1" applyAlignment="1">
      <alignment horizontal="center" vertical="center"/>
    </xf>
    <xf numFmtId="0" fontId="4" fillId="17" borderId="2" xfId="0" applyFont="1" applyFill="1" applyBorder="1" applyAlignment="1">
      <alignment horizontal="center" vertical="center"/>
    </xf>
    <xf numFmtId="0" fontId="4" fillId="6" borderId="2" xfId="5" applyFont="1" applyBorder="1" applyAlignment="1">
      <alignment horizontal="center" vertical="center"/>
    </xf>
    <xf numFmtId="0" fontId="3" fillId="3" borderId="2" xfId="2" applyFont="1" applyBorder="1" applyAlignment="1">
      <alignment horizontal="center" vertical="center"/>
    </xf>
    <xf numFmtId="0" fontId="4" fillId="7" borderId="2" xfId="6" applyFont="1" applyBorder="1" applyAlignment="1">
      <alignment horizontal="center" vertical="center"/>
    </xf>
    <xf numFmtId="0" fontId="6" fillId="2" borderId="2" xfId="1" applyFont="1" applyBorder="1" applyAlignment="1">
      <alignment horizontal="center" vertical="center"/>
    </xf>
    <xf numFmtId="0" fontId="3" fillId="3" borderId="3" xfId="2"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0" fontId="6" fillId="2" borderId="2" xfId="1" applyFont="1" applyBorder="1" applyAlignment="1">
      <alignment horizontal="center" vertical="center"/>
    </xf>
    <xf numFmtId="0" fontId="4" fillId="7" borderId="2" xfId="6" applyFont="1" applyBorder="1" applyAlignment="1">
      <alignment horizontal="center" vertical="center"/>
    </xf>
    <xf numFmtId="0" fontId="4" fillId="6" borderId="2" xfId="5" applyFont="1" applyBorder="1" applyAlignment="1">
      <alignment horizontal="center" vertical="center"/>
    </xf>
    <xf numFmtId="0" fontId="4" fillId="12" borderId="2" xfId="10" applyFont="1" applyBorder="1" applyAlignment="1">
      <alignment horizontal="center" vertical="center"/>
    </xf>
    <xf numFmtId="166" fontId="4" fillId="7" borderId="2" xfId="6" applyNumberFormat="1" applyFont="1" applyBorder="1" applyAlignment="1">
      <alignment horizontal="center" vertical="center"/>
    </xf>
    <xf numFmtId="165" fontId="6" fillId="2" borderId="2" xfId="1" applyNumberFormat="1" applyFont="1" applyBorder="1" applyAlignment="1">
      <alignment horizontal="center" vertical="center"/>
    </xf>
    <xf numFmtId="167" fontId="6" fillId="2" borderId="2" xfId="1" applyNumberFormat="1" applyFont="1" applyBorder="1" applyAlignment="1">
      <alignment horizontal="center" vertical="center"/>
    </xf>
    <xf numFmtId="10" fontId="6" fillId="2" borderId="2" xfId="1" applyNumberFormat="1" applyFont="1" applyBorder="1" applyAlignment="1">
      <alignment horizontal="center" vertical="center"/>
    </xf>
    <xf numFmtId="164" fontId="4" fillId="7" borderId="4" xfId="6" applyNumberFormat="1" applyFont="1" applyBorder="1" applyAlignment="1">
      <alignment horizontal="center" vertical="center"/>
    </xf>
    <xf numFmtId="0" fontId="4" fillId="5" borderId="2" xfId="4" applyFont="1" applyBorder="1" applyAlignment="1">
      <alignment horizontal="center" vertical="center"/>
    </xf>
    <xf numFmtId="165" fontId="6" fillId="2" borderId="2" xfId="7" applyNumberFormat="1" applyFont="1" applyFill="1" applyBorder="1" applyAlignment="1">
      <alignment horizontal="center" vertical="center"/>
    </xf>
    <xf numFmtId="9" fontId="6" fillId="2" borderId="2" xfId="7" applyFont="1" applyFill="1" applyBorder="1" applyAlignment="1">
      <alignment horizontal="center" vertical="center"/>
    </xf>
    <xf numFmtId="165" fontId="4" fillId="6" borderId="2" xfId="7" applyNumberFormat="1" applyFont="1" applyFill="1" applyBorder="1" applyAlignment="1">
      <alignment horizontal="center" vertical="center"/>
    </xf>
    <xf numFmtId="0" fontId="4" fillId="0" borderId="0" xfId="0" applyFont="1" applyAlignment="1"/>
    <xf numFmtId="0" fontId="4" fillId="0" borderId="0" xfId="0" applyFont="1" applyAlignment="1">
      <alignment horizontal="center" vertical="center"/>
    </xf>
    <xf numFmtId="0" fontId="4" fillId="0" borderId="0" xfId="0" applyFont="1" applyAlignment="1">
      <alignment vertical="center"/>
    </xf>
    <xf numFmtId="165" fontId="6" fillId="2" borderId="2" xfId="7" applyNumberFormat="1" applyFont="1" applyFill="1" applyBorder="1" applyAlignment="1">
      <alignment horizontal="center"/>
    </xf>
    <xf numFmtId="10" fontId="4" fillId="7" borderId="2" xfId="6" applyNumberFormat="1" applyFont="1" applyBorder="1" applyAlignment="1">
      <alignment horizontal="center" vertical="center"/>
    </xf>
    <xf numFmtId="10" fontId="4" fillId="7" borderId="2" xfId="7" applyNumberFormat="1" applyFont="1" applyFill="1" applyBorder="1" applyAlignment="1">
      <alignment horizontal="center" vertical="center"/>
    </xf>
    <xf numFmtId="4" fontId="4" fillId="12" borderId="2" xfId="10" applyNumberFormat="1" applyFont="1" applyBorder="1" applyAlignment="1">
      <alignment horizontal="center" vertical="center"/>
    </xf>
    <xf numFmtId="0" fontId="4" fillId="7" borderId="2" xfId="6"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0" fontId="4" fillId="7" borderId="2" xfId="6"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0" fontId="3" fillId="3" borderId="2" xfId="2" applyFont="1" applyBorder="1" applyAlignment="1">
      <alignment horizontal="center" vertical="center"/>
    </xf>
    <xf numFmtId="0" fontId="4" fillId="6" borderId="2" xfId="5" applyFont="1" applyBorder="1" applyAlignment="1">
      <alignment horizontal="center" vertical="center"/>
    </xf>
    <xf numFmtId="0" fontId="4" fillId="12" borderId="2" xfId="10"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9" fontId="4" fillId="7" borderId="2" xfId="7" applyNumberFormat="1" applyFont="1" applyFill="1" applyBorder="1" applyAlignment="1">
      <alignment horizontal="center" vertical="center"/>
    </xf>
    <xf numFmtId="167" fontId="4" fillId="7" borderId="2" xfId="7" applyNumberFormat="1" applyFont="1" applyFill="1" applyBorder="1"/>
    <xf numFmtId="167" fontId="4" fillId="7" borderId="2" xfId="7" applyNumberFormat="1" applyFont="1" applyFill="1" applyBorder="1" applyAlignment="1">
      <alignment horizontal="center" vertical="center"/>
    </xf>
    <xf numFmtId="0" fontId="4" fillId="10" borderId="2" xfId="8" applyFont="1" applyBorder="1" applyAlignment="1">
      <alignment horizontal="center" vertical="center" wrapText="1"/>
    </xf>
    <xf numFmtId="0" fontId="4" fillId="10" borderId="2" xfId="8" applyFont="1" applyBorder="1" applyAlignment="1">
      <alignment horizontal="left" vertical="top" wrapText="1"/>
    </xf>
    <xf numFmtId="0" fontId="4" fillId="10" borderId="2" xfId="8" applyFont="1" applyBorder="1" applyAlignment="1">
      <alignment horizontal="left" vertical="center" wrapText="1"/>
    </xf>
    <xf numFmtId="0" fontId="4" fillId="10" borderId="2" xfId="8" applyFont="1" applyBorder="1" applyAlignment="1">
      <alignment vertical="center" wrapText="1"/>
    </xf>
    <xf numFmtId="0" fontId="4" fillId="10" borderId="4" xfId="8" applyFont="1" applyBorder="1" applyAlignment="1">
      <alignment vertical="center" wrapText="1"/>
    </xf>
    <xf numFmtId="0" fontId="4" fillId="7" borderId="2" xfId="6" applyFont="1" applyBorder="1" applyAlignment="1">
      <alignment horizontal="center" vertical="center" wrapText="1"/>
    </xf>
    <xf numFmtId="0" fontId="4" fillId="14" borderId="2" xfId="12" applyFont="1" applyBorder="1"/>
    <xf numFmtId="0" fontId="4" fillId="12" borderId="8" xfId="10" applyFont="1" applyBorder="1" applyAlignment="1">
      <alignment horizontal="center" vertical="center"/>
    </xf>
    <xf numFmtId="169" fontId="4" fillId="6" borderId="2" xfId="5" applyNumberFormat="1" applyFont="1" applyBorder="1" applyAlignment="1">
      <alignment horizontal="center" vertical="center"/>
    </xf>
    <xf numFmtId="3" fontId="4" fillId="14" borderId="2" xfId="12" applyNumberFormat="1" applyFont="1" applyBorder="1" applyAlignment="1">
      <alignment horizontal="center" vertical="center"/>
    </xf>
    <xf numFmtId="169" fontId="4" fillId="7" borderId="2" xfId="6" applyNumberFormat="1" applyFont="1" applyBorder="1" applyAlignment="1">
      <alignment horizontal="center" vertical="center"/>
    </xf>
    <xf numFmtId="0" fontId="4" fillId="6" borderId="2" xfId="5" applyFont="1" applyBorder="1" applyAlignment="1">
      <alignment horizontal="center" vertical="center"/>
    </xf>
    <xf numFmtId="0" fontId="4" fillId="7" borderId="2" xfId="6" applyFont="1" applyBorder="1" applyAlignment="1">
      <alignment horizontal="center" vertical="center"/>
    </xf>
    <xf numFmtId="0" fontId="6" fillId="2" borderId="2" xfId="1" applyFont="1" applyBorder="1" applyAlignment="1">
      <alignment horizontal="center" vertical="center"/>
    </xf>
    <xf numFmtId="0" fontId="4" fillId="11" borderId="2" xfId="9" applyFont="1" applyBorder="1" applyAlignment="1">
      <alignment horizontal="center" vertical="center"/>
    </xf>
    <xf numFmtId="0" fontId="4" fillId="13" borderId="7" xfId="11" applyFont="1" applyBorder="1" applyAlignment="1">
      <alignment horizontal="center" vertical="center"/>
    </xf>
    <xf numFmtId="0" fontId="4" fillId="0" borderId="2" xfId="0" applyFont="1" applyBorder="1" applyAlignment="1">
      <alignment horizontal="center" vertical="center"/>
    </xf>
    <xf numFmtId="0" fontId="4" fillId="6" borderId="2" xfId="5" applyFont="1" applyBorder="1" applyAlignment="1">
      <alignment horizontal="right" vertical="center"/>
    </xf>
    <xf numFmtId="43" fontId="4" fillId="6" borderId="2" xfId="5" applyNumberFormat="1" applyFont="1" applyBorder="1" applyAlignment="1">
      <alignment horizontal="center" vertical="center"/>
    </xf>
    <xf numFmtId="169" fontId="4" fillId="11" borderId="2" xfId="9" applyNumberFormat="1" applyFont="1" applyBorder="1" applyAlignment="1">
      <alignment horizontal="center" vertical="center"/>
    </xf>
    <xf numFmtId="0" fontId="4" fillId="8" borderId="2" xfId="5" applyFont="1" applyFill="1" applyBorder="1" applyAlignment="1">
      <alignment vertical="center"/>
    </xf>
    <xf numFmtId="0" fontId="4" fillId="10" borderId="2" xfId="8" applyFont="1" applyBorder="1" applyAlignment="1">
      <alignment vertical="center"/>
    </xf>
    <xf numFmtId="0" fontId="4" fillId="8" borderId="5" xfId="5" applyFont="1" applyFill="1" applyBorder="1" applyAlignment="1">
      <alignment horizontal="center" vertical="center"/>
    </xf>
    <xf numFmtId="0" fontId="4" fillId="10" borderId="5" xfId="8" applyFont="1" applyBorder="1" applyAlignment="1">
      <alignment horizontal="center" vertical="center"/>
    </xf>
    <xf numFmtId="0" fontId="4" fillId="13" borderId="10" xfId="11" applyFont="1" applyBorder="1" applyAlignment="1">
      <alignment horizontal="center" vertical="center"/>
    </xf>
    <xf numFmtId="0" fontId="4" fillId="8" borderId="9" xfId="5" applyFont="1" applyFill="1" applyBorder="1" applyAlignment="1">
      <alignment horizontal="center" vertical="center"/>
    </xf>
    <xf numFmtId="0" fontId="4" fillId="8" borderId="3" xfId="5" applyFont="1" applyFill="1" applyBorder="1" applyAlignment="1">
      <alignment vertical="center"/>
    </xf>
    <xf numFmtId="0" fontId="9" fillId="13" borderId="12" xfId="11" applyFont="1" applyBorder="1" applyAlignment="1">
      <alignment horizontal="center" vertical="center"/>
    </xf>
    <xf numFmtId="0" fontId="9" fillId="8" borderId="4" xfId="5" applyFont="1" applyFill="1" applyBorder="1" applyAlignment="1">
      <alignment vertical="center"/>
    </xf>
    <xf numFmtId="0" fontId="9" fillId="8" borderId="11" xfId="5" applyFont="1" applyFill="1" applyBorder="1" applyAlignment="1">
      <alignment horizontal="center" vertical="center"/>
    </xf>
    <xf numFmtId="0" fontId="3" fillId="3" borderId="2" xfId="2" applyFont="1" applyBorder="1" applyAlignment="1"/>
    <xf numFmtId="170" fontId="4" fillId="7" borderId="2" xfId="6" applyNumberFormat="1" applyFont="1" applyBorder="1" applyAlignment="1">
      <alignment horizontal="center" vertical="center"/>
    </xf>
    <xf numFmtId="0" fontId="4" fillId="6" borderId="3" xfId="5" applyFont="1" applyBorder="1" applyAlignment="1">
      <alignment horizontal="center" vertical="center"/>
    </xf>
    <xf numFmtId="0" fontId="4" fillId="0" borderId="2" xfId="15" applyNumberFormat="1" applyFont="1" applyBorder="1" applyAlignment="1">
      <alignment horizontal="center" vertical="center"/>
    </xf>
    <xf numFmtId="0" fontId="4" fillId="18" borderId="2" xfId="16" applyFont="1" applyBorder="1" applyAlignment="1">
      <alignment horizontal="center" vertical="center"/>
    </xf>
    <xf numFmtId="164" fontId="4" fillId="10" borderId="2" xfId="8" applyNumberFormat="1" applyFont="1" applyBorder="1" applyAlignment="1">
      <alignment horizontal="center" vertical="center"/>
    </xf>
    <xf numFmtId="168" fontId="4" fillId="10" borderId="2" xfId="8" applyNumberFormat="1" applyFont="1" applyBorder="1" applyAlignment="1">
      <alignment horizontal="center" vertical="center"/>
    </xf>
    <xf numFmtId="0" fontId="4" fillId="4" borderId="2" xfId="3" applyFont="1" applyBorder="1" applyAlignment="1">
      <alignment horizontal="center" vertical="center"/>
    </xf>
    <xf numFmtId="0" fontId="4" fillId="10" borderId="2" xfId="8" applyFont="1" applyBorder="1" applyAlignment="1">
      <alignment horizontal="center" vertical="center"/>
    </xf>
    <xf numFmtId="0" fontId="4" fillId="18" borderId="2" xfId="16" applyFont="1" applyBorder="1" applyAlignment="1">
      <alignment horizontal="center" vertical="center" wrapText="1"/>
    </xf>
    <xf numFmtId="0" fontId="4" fillId="18" borderId="2" xfId="16" applyFont="1" applyBorder="1" applyAlignment="1">
      <alignment horizontal="left" vertical="center" wrapText="1"/>
    </xf>
    <xf numFmtId="0" fontId="4" fillId="18" borderId="2" xfId="16" applyFont="1" applyBorder="1" applyAlignment="1">
      <alignment horizontal="left" vertical="top" wrapText="1"/>
    </xf>
    <xf numFmtId="166" fontId="4" fillId="16" borderId="2" xfId="13" applyNumberFormat="1" applyFont="1" applyBorder="1" applyAlignment="1">
      <alignment horizontal="center" vertical="center"/>
    </xf>
    <xf numFmtId="164" fontId="4" fillId="16" borderId="2" xfId="13" applyNumberFormat="1" applyFont="1" applyBorder="1" applyAlignment="1">
      <alignment horizontal="center" vertical="center"/>
    </xf>
    <xf numFmtId="1" fontId="4" fillId="6" borderId="2" xfId="5" applyNumberFormat="1" applyFont="1" applyBorder="1" applyAlignment="1">
      <alignment horizontal="center" vertical="center"/>
    </xf>
    <xf numFmtId="1" fontId="4" fillId="11" borderId="2" xfId="9" applyNumberFormat="1" applyFont="1" applyBorder="1" applyAlignment="1">
      <alignment horizontal="center" vertical="center"/>
    </xf>
    <xf numFmtId="0" fontId="6" fillId="2" borderId="2" xfId="1" applyFont="1" applyBorder="1" applyAlignment="1">
      <alignment horizontal="center" vertical="center"/>
    </xf>
    <xf numFmtId="10" fontId="4" fillId="7" borderId="2" xfId="7" applyNumberFormat="1" applyFont="1" applyFill="1" applyBorder="1"/>
    <xf numFmtId="0" fontId="3" fillId="3" borderId="2" xfId="2" applyFont="1" applyBorder="1" applyAlignment="1">
      <alignment horizontal="center" vertical="center"/>
    </xf>
    <xf numFmtId="0" fontId="4" fillId="6" borderId="2" xfId="5" applyFont="1" applyBorder="1" applyAlignment="1">
      <alignment horizontal="center" vertical="center"/>
    </xf>
    <xf numFmtId="0" fontId="4" fillId="14" borderId="2" xfId="12" applyFont="1" applyBorder="1" applyAlignment="1">
      <alignment horizontal="center" vertical="center"/>
    </xf>
    <xf numFmtId="0" fontId="4" fillId="13" borderId="2" xfId="11" applyFont="1" applyBorder="1" applyAlignment="1">
      <alignment horizontal="center" vertical="center"/>
    </xf>
    <xf numFmtId="0" fontId="4" fillId="0" borderId="15" xfId="0" applyFont="1" applyBorder="1" applyAlignment="1"/>
    <xf numFmtId="0" fontId="0" fillId="0" borderId="0" xfId="0" applyBorder="1" applyAlignment="1"/>
    <xf numFmtId="0" fontId="3" fillId="3" borderId="2" xfId="2" applyFont="1" applyBorder="1" applyAlignment="1">
      <alignment horizontal="center" vertical="center"/>
    </xf>
    <xf numFmtId="0" fontId="4" fillId="0" borderId="2" xfId="0" applyFont="1" applyBorder="1" applyAlignment="1">
      <alignment horizontal="center" vertical="center"/>
    </xf>
    <xf numFmtId="0" fontId="3" fillId="3" borderId="2" xfId="2" applyFont="1" applyBorder="1" applyAlignment="1">
      <alignment horizontal="center" vertical="center"/>
    </xf>
    <xf numFmtId="0" fontId="4" fillId="6" borderId="2" xfId="5" applyFont="1" applyBorder="1" applyAlignment="1">
      <alignment horizontal="center" vertical="center"/>
    </xf>
    <xf numFmtId="0" fontId="6" fillId="2" borderId="2" xfId="1" applyFont="1" applyBorder="1" applyAlignment="1">
      <alignment horizontal="center" vertical="center"/>
    </xf>
    <xf numFmtId="0" fontId="4" fillId="5" borderId="2" xfId="4" applyFont="1" applyBorder="1" applyAlignment="1">
      <alignment horizontal="left" vertical="center"/>
    </xf>
    <xf numFmtId="165" fontId="4" fillId="5" borderId="2" xfId="4" applyNumberFormat="1" applyFont="1" applyBorder="1" applyAlignment="1">
      <alignment horizontal="center" vertical="center"/>
    </xf>
    <xf numFmtId="10" fontId="4" fillId="5" borderId="2" xfId="4" applyNumberFormat="1" applyFont="1" applyBorder="1" applyAlignment="1">
      <alignment horizontal="center" vertical="center"/>
    </xf>
    <xf numFmtId="0" fontId="4" fillId="5" borderId="0" xfId="4" applyFont="1" applyBorder="1" applyAlignment="1">
      <alignment horizontal="center" vertical="center"/>
    </xf>
    <xf numFmtId="0" fontId="3" fillId="3" borderId="2" xfId="2" applyFont="1" applyBorder="1" applyAlignment="1">
      <alignment horizontal="center" vertical="center"/>
    </xf>
    <xf numFmtId="0" fontId="3" fillId="3" borderId="5" xfId="2" applyFont="1" applyBorder="1" applyAlignment="1">
      <alignment horizontal="center"/>
    </xf>
    <xf numFmtId="0" fontId="3" fillId="3" borderId="6" xfId="2" applyFont="1" applyBorder="1" applyAlignment="1">
      <alignment horizontal="center"/>
    </xf>
    <xf numFmtId="0" fontId="3" fillId="3" borderId="7" xfId="2" applyFont="1" applyBorder="1" applyAlignment="1">
      <alignment horizontal="center"/>
    </xf>
    <xf numFmtId="0" fontId="4" fillId="6" borderId="2" xfId="5" applyFont="1" applyBorder="1" applyAlignment="1">
      <alignment horizontal="center" vertical="center"/>
    </xf>
    <xf numFmtId="0" fontId="4" fillId="0" borderId="2" xfId="0" applyFont="1" applyBorder="1" applyAlignment="1">
      <alignment horizontal="center"/>
    </xf>
    <xf numFmtId="0" fontId="4" fillId="11" borderId="2" xfId="9" applyFont="1" applyBorder="1" applyAlignment="1">
      <alignment horizontal="center" vertical="center"/>
    </xf>
    <xf numFmtId="0" fontId="3" fillId="3" borderId="2" xfId="2" applyFont="1" applyBorder="1" applyAlignment="1">
      <alignment horizontal="center" wrapText="1"/>
    </xf>
    <xf numFmtId="0" fontId="0" fillId="0" borderId="9" xfId="0" applyBorder="1" applyAlignment="1">
      <alignment horizontal="center"/>
    </xf>
    <xf numFmtId="0" fontId="0" fillId="0" borderId="14" xfId="0" applyBorder="1" applyAlignment="1">
      <alignment horizontal="center"/>
    </xf>
    <xf numFmtId="0" fontId="3" fillId="3" borderId="2" xfId="2" applyFont="1" applyBorder="1" applyAlignment="1">
      <alignment horizontal="center" vertical="center" wrapText="1"/>
    </xf>
    <xf numFmtId="0" fontId="4" fillId="8" borderId="2" xfId="0" applyFont="1" applyFill="1" applyBorder="1" applyAlignment="1">
      <alignment horizontal="right"/>
    </xf>
    <xf numFmtId="0" fontId="4" fillId="8" borderId="2" xfId="5" applyFont="1" applyFill="1" applyBorder="1" applyAlignment="1">
      <alignment horizontal="center" vertical="center"/>
    </xf>
    <xf numFmtId="0" fontId="4" fillId="8" borderId="2" xfId="4" applyFont="1" applyFill="1" applyBorder="1" applyAlignment="1">
      <alignment horizontal="right" vertical="center"/>
    </xf>
    <xf numFmtId="0" fontId="4" fillId="8" borderId="2" xfId="5" applyFont="1" applyFill="1" applyBorder="1" applyAlignment="1">
      <alignment horizontal="right" vertical="center"/>
    </xf>
    <xf numFmtId="0" fontId="4" fillId="8" borderId="2" xfId="5" applyFont="1" applyFill="1" applyBorder="1" applyAlignment="1">
      <alignment horizontal="center" vertical="center" wrapText="1"/>
    </xf>
    <xf numFmtId="0" fontId="4" fillId="7" borderId="2" xfId="6" applyFont="1" applyBorder="1" applyAlignment="1">
      <alignment horizontal="center" vertical="center"/>
    </xf>
    <xf numFmtId="0" fontId="6" fillId="2" borderId="2" xfId="1" applyFont="1" applyBorder="1" applyAlignment="1">
      <alignment horizontal="center" vertical="center"/>
    </xf>
    <xf numFmtId="0" fontId="3" fillId="3" borderId="2" xfId="2" applyFont="1" applyBorder="1" applyAlignment="1">
      <alignment horizontal="center"/>
    </xf>
    <xf numFmtId="0" fontId="4" fillId="8" borderId="2" xfId="5" applyFont="1" applyFill="1" applyBorder="1" applyAlignment="1">
      <alignment horizontal="center"/>
    </xf>
    <xf numFmtId="0" fontId="4" fillId="7" borderId="5" xfId="6" applyFont="1" applyBorder="1" applyAlignment="1">
      <alignment horizontal="center" vertical="center"/>
    </xf>
    <xf numFmtId="0" fontId="4" fillId="7" borderId="6" xfId="6" applyFont="1" applyBorder="1" applyAlignment="1">
      <alignment horizontal="center" vertical="center"/>
    </xf>
    <xf numFmtId="0" fontId="4" fillId="7" borderId="7" xfId="6" applyFont="1" applyBorder="1" applyAlignment="1">
      <alignment horizontal="center" vertical="center"/>
    </xf>
    <xf numFmtId="0" fontId="4" fillId="7" borderId="2" xfId="6" applyFont="1" applyBorder="1" applyAlignment="1">
      <alignment horizontal="center"/>
    </xf>
    <xf numFmtId="0" fontId="3" fillId="3" borderId="3" xfId="2" applyFont="1" applyBorder="1" applyAlignment="1">
      <alignment horizontal="center" vertical="center"/>
    </xf>
    <xf numFmtId="0" fontId="3" fillId="3" borderId="4" xfId="2" applyFont="1" applyBorder="1" applyAlignment="1">
      <alignment horizontal="center" vertical="center"/>
    </xf>
    <xf numFmtId="0" fontId="4" fillId="10" borderId="2" xfId="8" applyFont="1" applyBorder="1" applyAlignment="1">
      <alignment horizontal="right" vertical="center"/>
    </xf>
    <xf numFmtId="2" fontId="3" fillId="3" borderId="2" xfId="2" applyNumberFormat="1" applyFont="1" applyBorder="1" applyAlignment="1">
      <alignment horizontal="center" vertical="center"/>
    </xf>
    <xf numFmtId="2" fontId="4" fillId="7" borderId="2" xfId="6" applyNumberFormat="1" applyFont="1" applyBorder="1" applyAlignment="1">
      <alignment horizontal="center" vertical="center"/>
    </xf>
    <xf numFmtId="0" fontId="4" fillId="6" borderId="2" xfId="5" applyFont="1" applyBorder="1" applyAlignment="1">
      <alignment horizontal="center" vertical="center" wrapText="1"/>
    </xf>
    <xf numFmtId="0" fontId="1" fillId="4" borderId="2" xfId="3" applyBorder="1" applyAlignment="1">
      <alignment horizontal="center" vertical="center"/>
    </xf>
    <xf numFmtId="0" fontId="4" fillId="14" borderId="2" xfId="12" applyFont="1" applyBorder="1" applyAlignment="1">
      <alignment horizontal="center" vertical="center"/>
    </xf>
    <xf numFmtId="0" fontId="4" fillId="10" borderId="2" xfId="8" applyFont="1" applyBorder="1" applyAlignment="1">
      <alignment horizontal="center" vertical="center"/>
    </xf>
    <xf numFmtId="0" fontId="4" fillId="13" borderId="2" xfId="11" applyFont="1" applyBorder="1" applyAlignment="1">
      <alignment horizontal="center" vertical="center"/>
    </xf>
    <xf numFmtId="0" fontId="4" fillId="13" borderId="5" xfId="11" applyFont="1" applyBorder="1" applyAlignment="1">
      <alignment horizontal="center"/>
    </xf>
    <xf numFmtId="0" fontId="4" fillId="13" borderId="7" xfId="11" applyFont="1" applyBorder="1" applyAlignment="1">
      <alignment horizontal="center"/>
    </xf>
    <xf numFmtId="0" fontId="4" fillId="12" borderId="2" xfId="10" applyFont="1" applyBorder="1" applyAlignment="1">
      <alignment horizontal="center" vertical="center"/>
    </xf>
    <xf numFmtId="0" fontId="4" fillId="11" borderId="2" xfId="9" applyFont="1" applyBorder="1" applyAlignment="1">
      <alignment horizontal="left" vertical="center"/>
    </xf>
    <xf numFmtId="0" fontId="4" fillId="15" borderId="2" xfId="0" applyFont="1" applyFill="1" applyBorder="1" applyAlignment="1">
      <alignment horizontal="right" vertical="center"/>
    </xf>
    <xf numFmtId="0" fontId="4" fillId="14" borderId="5" xfId="12" applyFont="1" applyBorder="1" applyAlignment="1">
      <alignment horizontal="center" vertical="center"/>
    </xf>
    <xf numFmtId="0" fontId="4" fillId="14" borderId="7" xfId="12" applyFont="1" applyBorder="1" applyAlignment="1">
      <alignment horizontal="center" vertical="center"/>
    </xf>
    <xf numFmtId="0" fontId="4" fillId="13" borderId="5" xfId="11" applyFont="1" applyBorder="1" applyAlignment="1">
      <alignment horizontal="center" vertical="center"/>
    </xf>
    <xf numFmtId="0" fontId="4" fillId="13" borderId="7" xfId="11" applyFont="1" applyBorder="1" applyAlignment="1">
      <alignment horizontal="center" vertical="center"/>
    </xf>
    <xf numFmtId="10" fontId="4" fillId="7" borderId="2" xfId="7" applyNumberFormat="1" applyFont="1" applyFill="1" applyBorder="1" applyAlignment="1">
      <alignment horizontal="center"/>
    </xf>
    <xf numFmtId="0" fontId="4" fillId="12" borderId="6" xfId="10" applyFont="1" applyBorder="1" applyAlignment="1">
      <alignment horizontal="center"/>
    </xf>
    <xf numFmtId="0" fontId="4" fillId="11" borderId="5" xfId="9" applyFont="1" applyBorder="1" applyAlignment="1">
      <alignment horizontal="center" vertical="center"/>
    </xf>
    <xf numFmtId="0" fontId="4" fillId="11" borderId="6" xfId="9" applyFont="1" applyBorder="1" applyAlignment="1">
      <alignment horizontal="center" vertical="center"/>
    </xf>
    <xf numFmtId="0" fontId="4" fillId="11" borderId="7" xfId="9" applyFont="1" applyBorder="1" applyAlignment="1">
      <alignment horizontal="center" vertical="center"/>
    </xf>
    <xf numFmtId="0" fontId="4" fillId="0" borderId="2" xfId="0" applyFont="1" applyBorder="1" applyAlignment="1">
      <alignment horizontal="center" vertical="center"/>
    </xf>
    <xf numFmtId="0" fontId="4" fillId="16" borderId="5" xfId="13" applyFont="1" applyBorder="1" applyAlignment="1">
      <alignment horizontal="center" vertical="center"/>
    </xf>
    <xf numFmtId="0" fontId="4" fillId="16" borderId="6" xfId="13" applyFont="1" applyBorder="1" applyAlignment="1">
      <alignment horizontal="center" vertical="center"/>
    </xf>
    <xf numFmtId="0" fontId="4" fillId="16" borderId="7" xfId="13" applyFont="1" applyBorder="1" applyAlignment="1">
      <alignment horizontal="center" vertical="center"/>
    </xf>
    <xf numFmtId="166" fontId="4" fillId="16" borderId="2" xfId="13" applyNumberFormat="1" applyFont="1" applyBorder="1" applyAlignment="1">
      <alignment horizontal="center" vertical="center"/>
    </xf>
    <xf numFmtId="165" fontId="4" fillId="7" borderId="5" xfId="7" applyNumberFormat="1" applyFont="1" applyFill="1" applyBorder="1" applyAlignment="1">
      <alignment horizontal="center" vertical="center"/>
    </xf>
    <xf numFmtId="165" fontId="4" fillId="7" borderId="7" xfId="7" applyNumberFormat="1" applyFont="1" applyFill="1" applyBorder="1" applyAlignment="1">
      <alignment horizontal="center" vertical="center"/>
    </xf>
    <xf numFmtId="0" fontId="4" fillId="12" borderId="5" xfId="10" applyFont="1" applyBorder="1" applyAlignment="1">
      <alignment horizontal="center" vertical="center"/>
    </xf>
    <xf numFmtId="0" fontId="4" fillId="12" borderId="6" xfId="10" applyFont="1" applyBorder="1" applyAlignment="1">
      <alignment horizontal="center" vertical="center"/>
    </xf>
    <xf numFmtId="0" fontId="4" fillId="12" borderId="7" xfId="10" applyFont="1" applyBorder="1" applyAlignment="1">
      <alignment horizontal="center" vertical="center"/>
    </xf>
    <xf numFmtId="0" fontId="4" fillId="6" borderId="5" xfId="5" applyFont="1" applyBorder="1" applyAlignment="1">
      <alignment horizontal="center" vertical="center"/>
    </xf>
    <xf numFmtId="0" fontId="4" fillId="6" borderId="6" xfId="5" applyFont="1" applyBorder="1" applyAlignment="1">
      <alignment horizontal="center" vertical="center"/>
    </xf>
    <xf numFmtId="0" fontId="4" fillId="6" borderId="7" xfId="5" applyFont="1" applyBorder="1" applyAlignment="1">
      <alignment horizontal="center" vertical="center"/>
    </xf>
    <xf numFmtId="0" fontId="3" fillId="3" borderId="9" xfId="2" applyFont="1" applyBorder="1" applyAlignment="1">
      <alignment horizontal="center" vertical="center"/>
    </xf>
    <xf numFmtId="0" fontId="3" fillId="3" borderId="10" xfId="2" applyFont="1" applyBorder="1" applyAlignment="1">
      <alignment horizontal="center" vertical="center"/>
    </xf>
    <xf numFmtId="0" fontId="3" fillId="3" borderId="11" xfId="2" applyFont="1" applyBorder="1" applyAlignment="1">
      <alignment horizontal="center" vertical="center"/>
    </xf>
    <xf numFmtId="0" fontId="3" fillId="3" borderId="12" xfId="2" applyFont="1" applyBorder="1" applyAlignment="1">
      <alignment horizontal="center" vertical="center"/>
    </xf>
    <xf numFmtId="2" fontId="4" fillId="7" borderId="5" xfId="6" applyNumberFormat="1" applyFont="1" applyBorder="1" applyAlignment="1">
      <alignment horizontal="center" vertical="center"/>
    </xf>
    <xf numFmtId="2" fontId="4" fillId="7" borderId="7" xfId="6" applyNumberFormat="1" applyFont="1" applyBorder="1" applyAlignment="1">
      <alignment horizontal="center" vertical="center"/>
    </xf>
    <xf numFmtId="1" fontId="4" fillId="7" borderId="5" xfId="6" applyNumberFormat="1" applyFont="1" applyBorder="1" applyAlignment="1">
      <alignment horizontal="center" vertical="center"/>
    </xf>
    <xf numFmtId="1" fontId="4" fillId="7" borderId="7" xfId="6" applyNumberFormat="1" applyFont="1" applyBorder="1" applyAlignment="1">
      <alignment horizontal="center" vertical="center"/>
    </xf>
    <xf numFmtId="0" fontId="4" fillId="6" borderId="2" xfId="5" applyFont="1" applyBorder="1" applyAlignment="1">
      <alignment horizontal="center"/>
    </xf>
    <xf numFmtId="0" fontId="4" fillId="16" borderId="2" xfId="13" applyFont="1" applyBorder="1" applyAlignment="1">
      <alignment horizontal="center"/>
    </xf>
    <xf numFmtId="0" fontId="4" fillId="6" borderId="2" xfId="5" applyFont="1" applyBorder="1" applyAlignment="1">
      <alignment horizontal="right" vertical="center"/>
    </xf>
    <xf numFmtId="0" fontId="4" fillId="6" borderId="2" xfId="5" applyFont="1" applyBorder="1" applyAlignment="1">
      <alignment horizontal="left" wrapText="1"/>
    </xf>
    <xf numFmtId="0" fontId="4" fillId="6" borderId="5" xfId="5" applyFont="1" applyBorder="1" applyAlignment="1">
      <alignment horizontal="right" vertical="center"/>
    </xf>
    <xf numFmtId="0" fontId="4" fillId="6" borderId="6" xfId="5" applyFont="1" applyBorder="1" applyAlignment="1">
      <alignment horizontal="right" vertical="center"/>
    </xf>
    <xf numFmtId="0" fontId="4" fillId="6" borderId="7" xfId="5" applyFont="1" applyBorder="1" applyAlignment="1">
      <alignment horizontal="right" vertical="center"/>
    </xf>
    <xf numFmtId="0" fontId="3" fillId="3" borderId="2" xfId="2" applyFont="1" applyBorder="1" applyAlignment="1">
      <alignment horizontal="left" vertical="center"/>
    </xf>
    <xf numFmtId="0" fontId="8" fillId="6" borderId="2" xfId="14" applyFill="1" applyBorder="1" applyAlignment="1">
      <alignment horizontal="left" vertical="center"/>
    </xf>
    <xf numFmtId="0" fontId="4" fillId="6" borderId="2" xfId="5" applyFont="1" applyBorder="1" applyAlignment="1">
      <alignment horizontal="left" vertical="center"/>
    </xf>
    <xf numFmtId="0" fontId="3" fillId="3" borderId="5" xfId="2" applyFont="1" applyBorder="1" applyAlignment="1">
      <alignment horizontal="left"/>
    </xf>
    <xf numFmtId="0" fontId="3" fillId="3" borderId="6" xfId="2" applyFont="1" applyBorder="1" applyAlignment="1">
      <alignment horizontal="left"/>
    </xf>
    <xf numFmtId="0" fontId="3" fillId="3" borderId="7" xfId="2" applyFont="1" applyBorder="1" applyAlignment="1">
      <alignment horizontal="left"/>
    </xf>
    <xf numFmtId="0" fontId="3" fillId="3" borderId="5" xfId="2" applyFont="1" applyBorder="1" applyAlignment="1">
      <alignment horizontal="center" vertical="center"/>
    </xf>
    <xf numFmtId="0" fontId="3" fillId="3" borderId="7" xfId="2" applyFont="1" applyBorder="1" applyAlignment="1">
      <alignment horizontal="center" vertical="center"/>
    </xf>
    <xf numFmtId="0" fontId="4" fillId="10" borderId="3" xfId="8" applyFont="1" applyBorder="1" applyAlignment="1">
      <alignment horizontal="center" vertical="center" wrapText="1"/>
    </xf>
    <xf numFmtId="0" fontId="4" fillId="10" borderId="4" xfId="8" applyFont="1" applyBorder="1" applyAlignment="1">
      <alignment horizontal="center" vertical="center" wrapText="1"/>
    </xf>
    <xf numFmtId="0" fontId="4" fillId="10" borderId="8" xfId="8" applyFont="1" applyBorder="1" applyAlignment="1">
      <alignment horizontal="center" vertical="center" wrapText="1"/>
    </xf>
    <xf numFmtId="0" fontId="4" fillId="18" borderId="3" xfId="16" applyFont="1" applyBorder="1" applyAlignment="1">
      <alignment horizontal="center" vertical="center" wrapText="1"/>
    </xf>
    <xf numFmtId="0" fontId="4" fillId="18" borderId="8" xfId="16" applyFont="1" applyBorder="1" applyAlignment="1">
      <alignment horizontal="center" vertical="center" wrapText="1"/>
    </xf>
    <xf numFmtId="0" fontId="4" fillId="18" borderId="4" xfId="16" applyFont="1" applyBorder="1" applyAlignment="1">
      <alignment horizontal="center" vertical="center" wrapText="1"/>
    </xf>
    <xf numFmtId="0" fontId="3" fillId="3" borderId="15" xfId="2" applyFont="1" applyBorder="1" applyAlignment="1">
      <alignment horizontal="center" vertical="center"/>
    </xf>
    <xf numFmtId="0" fontId="4" fillId="19" borderId="2" xfId="17" applyFont="1" applyBorder="1" applyAlignment="1">
      <alignment horizontal="center" vertical="center"/>
    </xf>
    <xf numFmtId="0" fontId="4" fillId="19" borderId="2" xfId="17" applyFont="1" applyBorder="1" applyAlignment="1">
      <alignment horizontal="center" vertical="center"/>
    </xf>
    <xf numFmtId="0" fontId="4" fillId="19" borderId="4" xfId="17" applyFont="1" applyBorder="1" applyAlignment="1">
      <alignment horizontal="center" vertical="center"/>
    </xf>
    <xf numFmtId="0" fontId="4" fillId="19" borderId="4" xfId="17" applyFont="1" applyBorder="1" applyAlignment="1">
      <alignment horizontal="center" vertical="center"/>
    </xf>
    <xf numFmtId="0" fontId="4" fillId="6" borderId="5" xfId="5" applyFont="1" applyBorder="1" applyAlignment="1">
      <alignment horizontal="left"/>
    </xf>
    <xf numFmtId="0" fontId="4" fillId="6" borderId="6" xfId="5" applyFont="1" applyBorder="1" applyAlignment="1">
      <alignment horizontal="left"/>
    </xf>
    <xf numFmtId="0" fontId="4" fillId="6" borderId="7" xfId="5" applyFont="1" applyBorder="1" applyAlignment="1">
      <alignment horizontal="left"/>
    </xf>
  </cellXfs>
  <cellStyles count="18">
    <cellStyle name="20 % - Akzent1" xfId="8" builtinId="30"/>
    <cellStyle name="20 % - Akzent2" xfId="4" builtinId="34"/>
    <cellStyle name="20 % - Akzent3" xfId="5" builtinId="38"/>
    <cellStyle name="20 % - Akzent5" xfId="11" builtinId="46"/>
    <cellStyle name="40 % - Akzent1" xfId="16" builtinId="31"/>
    <cellStyle name="40 % - Akzent3" xfId="9" builtinId="39"/>
    <cellStyle name="40 % - Akzent4" xfId="17" builtinId="43"/>
    <cellStyle name="60 % - Akzent1" xfId="3" builtinId="32"/>
    <cellStyle name="60 % - Akzent2" xfId="13" builtinId="36"/>
    <cellStyle name="60 % - Akzent3" xfId="10" builtinId="40"/>
    <cellStyle name="60 % - Akzent4" xfId="6" builtinId="44"/>
    <cellStyle name="60 % - Akzent5" xfId="12" builtinId="48"/>
    <cellStyle name="Akzent1" xfId="2" builtinId="29"/>
    <cellStyle name="Eingabe" xfId="1" builtinId="20"/>
    <cellStyle name="Komma" xfId="15" builtinId="3"/>
    <cellStyle name="Link" xfId="14" builtinId="8"/>
    <cellStyle name="Prozent" xfId="7" builtinId="5"/>
    <cellStyle name="Standard" xfId="0" builtinId="0"/>
  </cellStyles>
  <dxfs count="36">
    <dxf>
      <font>
        <b/>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b/>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3" dropStyle="combo" dx="22" fmlaLink="$R$16" fmlaRange="$B$47:$C$49" noThreeD="1" sel="2" val="0"/>
</file>

<file path=xl/ctrlProps/ctrlProp10.xml><?xml version="1.0" encoding="utf-8"?>
<formControlPr xmlns="http://schemas.microsoft.com/office/spreadsheetml/2009/9/main" objectType="Drop" dropStyle="combo" dx="22" fmlaLink="$D$8" fmlaRange="Düngertabelle!$B$2:$B$120" noThreeD="1" sel="1" val="0"/>
</file>

<file path=xl/ctrlProps/ctrlProp2.xml><?xml version="1.0" encoding="utf-8"?>
<formControlPr xmlns="http://schemas.microsoft.com/office/spreadsheetml/2009/9/main" objectType="Drop" dropStyle="combo" dx="22" fmlaLink="$D$3" fmlaRange="Düngertabelle!$B$2:$B$120" noThreeD="1" sel="1" val="0"/>
</file>

<file path=xl/ctrlProps/ctrlProp3.xml><?xml version="1.0" encoding="utf-8"?>
<formControlPr xmlns="http://schemas.microsoft.com/office/spreadsheetml/2009/9/main" objectType="Drop" dropStyle="combo" dx="22" fmlaLink="$D$4" fmlaRange="Düngertabelle!$B$2:$B$120" noThreeD="1" sel="1" val="0"/>
</file>

<file path=xl/ctrlProps/ctrlProp4.xml><?xml version="1.0" encoding="utf-8"?>
<formControlPr xmlns="http://schemas.microsoft.com/office/spreadsheetml/2009/9/main" objectType="Drop" dropStyle="combo" dx="22" fmlaLink="$D$5" fmlaRange="Düngertabelle!$B$2:$B$120" noThreeD="1" sel="1" val="0"/>
</file>

<file path=xl/ctrlProps/ctrlProp5.xml><?xml version="1.0" encoding="utf-8"?>
<formControlPr xmlns="http://schemas.microsoft.com/office/spreadsheetml/2009/9/main" objectType="Drop" dropStyle="combo" dx="22" fmlaLink="$D$6" fmlaRange="Düngertabelle!$B$2:$B$120" noThreeD="1" sel="1" val="0"/>
</file>

<file path=xl/ctrlProps/ctrlProp6.xml><?xml version="1.0" encoding="utf-8"?>
<formControlPr xmlns="http://schemas.microsoft.com/office/spreadsheetml/2009/9/main" objectType="Drop" dropStyle="combo" dx="22" fmlaLink="$D$7" fmlaRange="Düngertabelle!$B$2:$B$120" noThreeD="1" sel="1" val="0"/>
</file>

<file path=xl/ctrlProps/ctrlProp7.xml><?xml version="1.0" encoding="utf-8"?>
<formControlPr xmlns="http://schemas.microsoft.com/office/spreadsheetml/2009/9/main" objectType="Drop" dropStyle="combo" dx="22" fmlaLink="$D$9" fmlaRange="Düngertabelle!$B$2:$B$120" noThreeD="1" sel="1" val="0"/>
</file>

<file path=xl/ctrlProps/ctrlProp8.xml><?xml version="1.0" encoding="utf-8"?>
<formControlPr xmlns="http://schemas.microsoft.com/office/spreadsheetml/2009/9/main" objectType="Drop" dropStyle="combo" dx="22" fmlaLink="$D$10" fmlaRange="Düngertabelle!$B$2:$B$120" noThreeD="1" sel="1" val="0"/>
</file>

<file path=xl/ctrlProps/ctrlProp9.xml><?xml version="1.0" encoding="utf-8"?>
<formControlPr xmlns="http://schemas.microsoft.com/office/spreadsheetml/2009/9/main" objectType="Drop" dropStyle="combo" dx="22" fmlaLink="$D$11" fmlaRange="Düngertabelle!$B$2:$B$120" noThreeD="1" sel="1" val="0"/>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13</xdr:col>
          <xdr:colOff>0</xdr:colOff>
          <xdr:row>15</xdr:row>
          <xdr:rowOff>0</xdr:rowOff>
        </xdr:from>
        <xdr:to>
          <xdr:col>17</xdr:col>
          <xdr:colOff>0</xdr:colOff>
          <xdr:row>15</xdr:row>
          <xdr:rowOff>190500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180975</xdr:rowOff>
        </xdr:from>
        <xdr:to>
          <xdr:col>2</xdr:col>
          <xdr:colOff>847725</xdr:colOff>
          <xdr:row>3</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180975</xdr:rowOff>
        </xdr:from>
        <xdr:to>
          <xdr:col>2</xdr:col>
          <xdr:colOff>847725</xdr:colOff>
          <xdr:row>4</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180975</xdr:rowOff>
        </xdr:from>
        <xdr:to>
          <xdr:col>2</xdr:col>
          <xdr:colOff>847725</xdr:colOff>
          <xdr:row>5</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2</xdr:col>
          <xdr:colOff>847725</xdr:colOff>
          <xdr:row>6</xdr:row>
          <xdr:rowOff>9525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180975</xdr:rowOff>
        </xdr:from>
        <xdr:to>
          <xdr:col>2</xdr:col>
          <xdr:colOff>847725</xdr:colOff>
          <xdr:row>7</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180975</xdr:rowOff>
        </xdr:from>
        <xdr:to>
          <xdr:col>2</xdr:col>
          <xdr:colOff>847725</xdr:colOff>
          <xdr:row>9</xdr:row>
          <xdr:rowOff>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2</xdr:col>
          <xdr:colOff>847725</xdr:colOff>
          <xdr:row>10</xdr:row>
          <xdr:rowOff>9525</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180975</xdr:rowOff>
        </xdr:from>
        <xdr:to>
          <xdr:col>2</xdr:col>
          <xdr:colOff>847725</xdr:colOff>
          <xdr:row>11</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847725</xdr:colOff>
          <xdr:row>8</xdr:row>
          <xdr:rowOff>9525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186267</xdr:colOff>
      <xdr:row>18</xdr:row>
      <xdr:rowOff>11642</xdr:rowOff>
    </xdr:from>
    <xdr:to>
      <xdr:col>15</xdr:col>
      <xdr:colOff>453749</xdr:colOff>
      <xdr:row>46</xdr:row>
      <xdr:rowOff>126702</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0434" y="3451225"/>
          <a:ext cx="5601482" cy="54490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C4EBC7-F644-4B5A-981C-82910594A3CC}" name="Tabelle4" displayName="Tabelle4" ref="A46:C49" totalsRowShown="0" headerRowDxfId="35" headerRowBorderDxfId="34" tableBorderDxfId="33" totalsRowBorderDxfId="32">
  <autoFilter ref="A46:C49" xr:uid="{CC84FEB9-DD7E-4EE4-BB4F-9684712E1829}"/>
  <tableColumns count="3">
    <tableColumn id="1" xr3:uid="{7C24E960-9195-490B-AF51-F1C5EAAB43BE}" name="Nr." dataDxfId="31" dataCellStyle="20 % - Akzent5"/>
    <tableColumn id="2" xr3:uid="{D358A21F-2CA3-4616-AA03-531B5B346455}" name="Region"/>
    <tableColumn id="3" xr3:uid="{E30C00DE-D065-441E-B518-F532D55894F6}" name="Fakto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7E8248-3D68-48D8-A649-B79BE7A22DA5}" name="Tabelle2" displayName="Tabelle2" ref="A1:AA120" totalsRowShown="0" headerRowDxfId="30" dataDxfId="28" headerRowBorderDxfId="29" tableBorderDxfId="27" headerRowCellStyle="Akzent1">
  <autoFilter ref="A1:AA120" xr:uid="{3D595BF1-9DC1-4693-9CCA-94132EE249B0}"/>
  <sortState xmlns:xlrd2="http://schemas.microsoft.com/office/spreadsheetml/2017/richdata2" ref="A2:AA120">
    <sortCondition ref="B1:B120"/>
  </sortState>
  <tableColumns count="27">
    <tableColumn id="1" xr3:uid="{39903303-7233-4890-995A-7EF316A37F0D}" name="Nr." dataDxfId="26">
      <calculatedColumnFormula>ROW(A1)</calculatedColumnFormula>
    </tableColumn>
    <tableColumn id="2" xr3:uid="{10A6A3AA-B8A1-484E-89C0-E4F2192E2246}" name="Düngername" dataDxfId="25"/>
    <tableColumn id="25" xr3:uid="{5C05C89B-BEEE-4695-82E6-C9E4A2AC6F9D}" name="Form" dataDxfId="24"/>
    <tableColumn id="3" xr3:uid="{B09928E1-7690-41BA-AE18-3C577A04481A}" name="Dichte in g" dataDxfId="23"/>
    <tableColumn id="4" xr3:uid="{DF8182D0-6C3B-445F-9550-B6713D7D5D6A}" name="NH4-N" dataDxfId="22" dataCellStyle="Prozent"/>
    <tableColumn id="5" xr3:uid="{9BFC2961-D792-4CED-85CE-381BAE273C7F}" name="NO3-N" dataDxfId="21" dataCellStyle="Prozent"/>
    <tableColumn id="6" xr3:uid="{8C351A78-B649-4392-9319-D9EC51DDB52A}" name="P2O5" dataDxfId="20" dataCellStyle="Prozent"/>
    <tableColumn id="7" xr3:uid="{F4E76989-0F55-4697-AB24-09924338392C}" name="K2O" dataDxfId="19" dataCellStyle="Prozent"/>
    <tableColumn id="8" xr3:uid="{9AB19B55-EC7F-4385-93DD-796182F814B7}" name="CaO" dataDxfId="18" dataCellStyle="Prozent"/>
    <tableColumn id="9" xr3:uid="{AD7F53DA-609A-4697-AA7F-D384CAD3A20B}" name="MgO" dataDxfId="17" dataCellStyle="Prozent"/>
    <tableColumn id="10" xr3:uid="{9B9AE4D2-9E45-44AE-995E-59A7F8B5318A}" name="Na2O" dataDxfId="16" dataCellStyle="Prozent"/>
    <tableColumn id="11" xr3:uid="{2B0C79BE-0D35-4E87-848F-AA8B281D40E0}" name="SO4" dataDxfId="15" dataCellStyle="Prozent"/>
    <tableColumn id="12" xr3:uid="{850D903C-4CEF-4A9D-A499-F9122D07DA89}" name="Fe" dataDxfId="14" dataCellStyle="Prozent"/>
    <tableColumn id="13" xr3:uid="{B58433F8-4532-4FC1-A6C5-AA4F02B4BB31}" name="Mn" dataDxfId="13" dataCellStyle="Prozent"/>
    <tableColumn id="14" xr3:uid="{1D6F568D-ED12-4F75-BC0C-5AE325905A18}" name="Cu" dataDxfId="12" dataCellStyle="Prozent"/>
    <tableColumn id="15" xr3:uid="{A154B964-3CCA-410E-A98F-ECE0D783DD42}" name="Zn" dataDxfId="11" dataCellStyle="Prozent"/>
    <tableColumn id="16" xr3:uid="{DD199861-DC1D-44F8-BCDB-6B7C76B63543}" name="B" dataDxfId="10" dataCellStyle="Prozent"/>
    <tableColumn id="17" xr3:uid="{4442AB0B-2794-4941-8E09-D4D53708CF72}" name="Mo" dataDxfId="9" dataCellStyle="Prozent"/>
    <tableColumn id="18" xr3:uid="{EBA73B46-E74D-4938-B499-EBEE9AAFC062}" name="Cl" dataDxfId="8" dataCellStyle="Prozent"/>
    <tableColumn id="19" xr3:uid="{D02BB478-222C-4BC8-9349-105C2BA409AE}" name="SiO2" dataDxfId="7" dataCellStyle="Prozent"/>
    <tableColumn id="20" xr3:uid="{B1382F03-4A39-41F4-A4C9-B7D0DDA04A3D}" name="CO3" dataDxfId="6" dataCellStyle="Prozent"/>
    <tableColumn id="21" xr3:uid="{27A66424-AD72-4402-9733-0196008C0EF9}" name="z PO4" dataDxfId="5" dataCellStyle="Prozent"/>
    <tableColumn id="22" xr3:uid="{B5C5E1E7-CC92-48CA-815E-B2C4398EBC80}" name="z SO4" dataDxfId="4"/>
    <tableColumn id="23" xr3:uid="{7A958163-1576-4B2A-9AC8-B7AD0D40018A}" name="z Fe" dataDxfId="3"/>
    <tableColumn id="24" xr3:uid="{40557193-CEA0-4A5E-86A0-28AF77D49EC3}" name="z HCO3" dataDxfId="2"/>
    <tableColumn id="26" xr3:uid="{759E8CF9-9D2B-4C6C-8633-47857B7E872A}" name="Merkmale / Beschreibung" dataDxfId="1"/>
    <tableColumn id="27" xr3:uid="{6E510EBE-0EC1-432A-891F-D4062B72EBD5}" name="EC auf 1L Dest.Wasser 20°C"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rtelt.io/labtools/verduennungsrechn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9AE9-2AF7-444D-A7F7-E46B58CF256F}">
  <sheetPr codeName="Tabelle1"/>
  <dimension ref="A1:AC93"/>
  <sheetViews>
    <sheetView tabSelected="1" zoomScale="84" zoomScaleNormal="84" workbookViewId="0">
      <selection activeCell="C75" sqref="C75"/>
    </sheetView>
  </sheetViews>
  <sheetFormatPr baseColWidth="10" defaultRowHeight="15" x14ac:dyDescent="0.25"/>
  <cols>
    <col min="1" max="2" width="15.85546875" customWidth="1"/>
    <col min="3" max="3" width="9.5703125" customWidth="1"/>
    <col min="4" max="4" width="8.5703125" customWidth="1"/>
    <col min="5" max="5" width="7.140625" customWidth="1"/>
    <col min="6" max="6" width="8.5703125" customWidth="1"/>
    <col min="7" max="7" width="15.5703125" customWidth="1"/>
    <col min="8" max="8" width="12.5703125" customWidth="1"/>
    <col min="9" max="9" width="8.28515625" bestFit="1" customWidth="1"/>
    <col min="10" max="16" width="7.140625" customWidth="1"/>
    <col min="17" max="17" width="7.85546875" customWidth="1"/>
    <col min="18" max="18" width="7.7109375" customWidth="1"/>
    <col min="19" max="24" width="7.140625" customWidth="1"/>
    <col min="25" max="25" width="8.140625" customWidth="1"/>
    <col min="26" max="26" width="7.140625" customWidth="1"/>
  </cols>
  <sheetData>
    <row r="1" spans="1:26" x14ac:dyDescent="0.25">
      <c r="A1" s="161" t="s">
        <v>363</v>
      </c>
      <c r="B1" s="161"/>
      <c r="C1" s="161"/>
      <c r="D1" s="161"/>
      <c r="E1" s="161"/>
      <c r="F1" s="161"/>
      <c r="G1" s="171" t="s">
        <v>88</v>
      </c>
      <c r="H1" s="171"/>
      <c r="I1" s="171"/>
      <c r="J1" s="161" t="s">
        <v>0</v>
      </c>
      <c r="K1" s="161" t="s">
        <v>1</v>
      </c>
      <c r="L1" s="161" t="s">
        <v>2</v>
      </c>
      <c r="M1" s="161" t="s">
        <v>3</v>
      </c>
      <c r="N1" s="161" t="s">
        <v>4</v>
      </c>
      <c r="O1" s="161" t="s">
        <v>5</v>
      </c>
      <c r="P1" s="161" t="s">
        <v>6</v>
      </c>
      <c r="Q1" s="161" t="s">
        <v>7</v>
      </c>
      <c r="R1" s="161" t="s">
        <v>8</v>
      </c>
      <c r="S1" s="185" t="s">
        <v>9</v>
      </c>
      <c r="T1" s="185" t="s">
        <v>10</v>
      </c>
      <c r="U1" s="185" t="s">
        <v>11</v>
      </c>
      <c r="V1" s="185" t="s">
        <v>12</v>
      </c>
      <c r="W1" s="185" t="s">
        <v>13</v>
      </c>
      <c r="X1" s="185" t="s">
        <v>14</v>
      </c>
      <c r="Y1" s="161" t="s">
        <v>15</v>
      </c>
      <c r="Z1" s="161" t="s">
        <v>16</v>
      </c>
    </row>
    <row r="2" spans="1:26" x14ac:dyDescent="0.25">
      <c r="A2" s="184" t="s">
        <v>84</v>
      </c>
      <c r="B2" s="184"/>
      <c r="C2" s="184"/>
      <c r="D2" s="184"/>
      <c r="E2" s="184"/>
      <c r="F2" s="184"/>
      <c r="G2" s="171"/>
      <c r="H2" s="171"/>
      <c r="I2" s="171"/>
      <c r="J2" s="161"/>
      <c r="K2" s="161"/>
      <c r="L2" s="161"/>
      <c r="M2" s="161"/>
      <c r="N2" s="161"/>
      <c r="O2" s="161"/>
      <c r="P2" s="161"/>
      <c r="Q2" s="161"/>
      <c r="R2" s="161"/>
      <c r="S2" s="186"/>
      <c r="T2" s="186"/>
      <c r="U2" s="186"/>
      <c r="V2" s="186"/>
      <c r="W2" s="186"/>
      <c r="X2" s="186"/>
      <c r="Y2" s="161"/>
      <c r="Z2" s="161"/>
    </row>
    <row r="3" spans="1:26" x14ac:dyDescent="0.25">
      <c r="A3" s="187" t="s">
        <v>20</v>
      </c>
      <c r="B3" s="187"/>
      <c r="C3" s="156">
        <v>0</v>
      </c>
      <c r="D3" s="46" t="s">
        <v>17</v>
      </c>
      <c r="E3" s="1">
        <v>0</v>
      </c>
      <c r="F3" s="46" t="s">
        <v>59</v>
      </c>
      <c r="G3" s="165" t="s">
        <v>18</v>
      </c>
      <c r="H3" s="165"/>
      <c r="I3" s="2">
        <v>10</v>
      </c>
      <c r="J3" s="191"/>
      <c r="K3" s="191"/>
      <c r="L3" s="191"/>
      <c r="M3" s="191"/>
      <c r="N3" s="191"/>
      <c r="O3" s="191"/>
      <c r="P3" s="191"/>
      <c r="Q3" s="191"/>
      <c r="R3" s="191"/>
      <c r="S3" s="191"/>
      <c r="T3" s="191"/>
      <c r="U3" s="191"/>
      <c r="V3" s="191"/>
      <c r="W3" s="191"/>
      <c r="X3" s="191"/>
      <c r="Y3" s="191"/>
      <c r="Z3" s="191"/>
    </row>
    <row r="4" spans="1:26" x14ac:dyDescent="0.25">
      <c r="A4" s="187" t="s">
        <v>360</v>
      </c>
      <c r="B4" s="187"/>
      <c r="C4" s="156">
        <v>0</v>
      </c>
      <c r="D4" s="46" t="s">
        <v>17</v>
      </c>
      <c r="E4" s="1">
        <v>0</v>
      </c>
      <c r="F4" s="46" t="s">
        <v>59</v>
      </c>
      <c r="G4" s="190" t="s">
        <v>161</v>
      </c>
      <c r="H4" s="190"/>
      <c r="I4" s="115" t="s">
        <v>19</v>
      </c>
      <c r="J4" s="3">
        <f>(((C3+(E3*Z12))*X12)+(C4+(E4*Z15)))*I3/K14</f>
        <v>0</v>
      </c>
      <c r="K4" s="3">
        <f>(((C5+(E5*Z13))*X13)+(C6+(E6*Z15))+((C7+(E7*Z14))*X14)+((C8+(E8*Z15))*X14))*I3/K14</f>
        <v>12.882</v>
      </c>
      <c r="L4" s="3">
        <f>(((C9+(E9*Z18))*X16)+((C10+(E10*Z19))*X17))*I3/K14</f>
        <v>0</v>
      </c>
      <c r="M4" s="3">
        <f>((C11+(E11*Z21))*X18)*I3/K14</f>
        <v>26.488</v>
      </c>
      <c r="N4" s="3">
        <f>((C13+(E13*Z23))*X19)*I3/K14</f>
        <v>209.85</v>
      </c>
      <c r="O4" s="3">
        <f>(((C14+(E14*Z25)))*X20)*I3/K14</f>
        <v>134.29799999999997</v>
      </c>
      <c r="P4" s="3">
        <f>((C15+(E15*Z27))*X21)*I3/K14</f>
        <v>29.634</v>
      </c>
      <c r="Q4" s="3">
        <f>((C16+(E16*Z28))+((C17+(E17*Z29))*X22))*I3/K14</f>
        <v>167</v>
      </c>
      <c r="R4" s="3">
        <f>(C19+(E19*Z30))*I3/K14</f>
        <v>0.1</v>
      </c>
      <c r="S4" s="3">
        <f>(C20+(E20*Z31))*I3/K14</f>
        <v>0</v>
      </c>
      <c r="T4" s="3">
        <f>(C21+(E21*Z32))*I3/K14</f>
        <v>0.02</v>
      </c>
      <c r="U4" s="3">
        <f>(C22+(E22*Z33))*I3/K14</f>
        <v>0</v>
      </c>
      <c r="V4" s="3">
        <f>(C23+(E23*Z34))*I3/K14</f>
        <v>0.1</v>
      </c>
      <c r="W4" s="3">
        <f>(C24+(E24*Z35))*I3/K14</f>
        <v>0</v>
      </c>
      <c r="X4" s="3">
        <f>(C25+(E25*Z37))*I3/K14</f>
        <v>30</v>
      </c>
      <c r="Y4" s="3">
        <f>((C26+(E26*Z38))+((C27+(E27*Z39))*X23))*I3/K14</f>
        <v>0</v>
      </c>
      <c r="Z4" s="3">
        <f>(((C29+(E29*Z40))+((C30+(E30*Z41))*X25)+((C31*X26)+(E31*X27))+(C32*X28))*X24)*I3/K14</f>
        <v>633.91038984000011</v>
      </c>
    </row>
    <row r="5" spans="1:26" x14ac:dyDescent="0.25">
      <c r="A5" s="175" t="s">
        <v>23</v>
      </c>
      <c r="B5" s="175"/>
      <c r="C5" s="156">
        <v>5.7</v>
      </c>
      <c r="D5" s="11" t="s">
        <v>17</v>
      </c>
      <c r="E5" s="1">
        <v>0</v>
      </c>
      <c r="F5" s="10" t="s">
        <v>59</v>
      </c>
      <c r="G5" s="190"/>
      <c r="H5" s="190"/>
      <c r="I5" s="115" t="s">
        <v>21</v>
      </c>
      <c r="J5" s="3">
        <f>J4/1000</f>
        <v>0</v>
      </c>
      <c r="K5" s="3">
        <f t="shared" ref="K5:Z5" si="0">K4/1000</f>
        <v>1.2881999999999999E-2</v>
      </c>
      <c r="L5" s="3">
        <f t="shared" si="0"/>
        <v>0</v>
      </c>
      <c r="M5" s="3">
        <f t="shared" si="0"/>
        <v>2.6488000000000001E-2</v>
      </c>
      <c r="N5" s="3">
        <f t="shared" si="0"/>
        <v>0.20984999999999998</v>
      </c>
      <c r="O5" s="3">
        <f t="shared" si="0"/>
        <v>0.13429799999999997</v>
      </c>
      <c r="P5" s="3">
        <f t="shared" si="0"/>
        <v>2.9634000000000001E-2</v>
      </c>
      <c r="Q5" s="3">
        <f t="shared" si="0"/>
        <v>0.16700000000000001</v>
      </c>
      <c r="R5" s="3">
        <f t="shared" si="0"/>
        <v>1E-4</v>
      </c>
      <c r="S5" s="3">
        <f t="shared" si="0"/>
        <v>0</v>
      </c>
      <c r="T5" s="3">
        <f t="shared" si="0"/>
        <v>2.0000000000000002E-5</v>
      </c>
      <c r="U5" s="3">
        <f t="shared" si="0"/>
        <v>0</v>
      </c>
      <c r="V5" s="3">
        <f t="shared" si="0"/>
        <v>1E-4</v>
      </c>
      <c r="W5" s="3">
        <f t="shared" si="0"/>
        <v>0</v>
      </c>
      <c r="X5" s="3">
        <f t="shared" si="0"/>
        <v>0.03</v>
      </c>
      <c r="Y5" s="3">
        <f t="shared" si="0"/>
        <v>0</v>
      </c>
      <c r="Z5" s="3">
        <f t="shared" si="0"/>
        <v>0.63391038984000014</v>
      </c>
    </row>
    <row r="6" spans="1:26" x14ac:dyDescent="0.25">
      <c r="A6" s="175" t="s">
        <v>359</v>
      </c>
      <c r="B6" s="175"/>
      <c r="C6" s="156">
        <v>0</v>
      </c>
      <c r="D6" s="11" t="s">
        <v>17</v>
      </c>
      <c r="E6" s="1">
        <v>0</v>
      </c>
      <c r="F6" s="10" t="s">
        <v>59</v>
      </c>
      <c r="G6" s="161" t="s">
        <v>110</v>
      </c>
      <c r="H6" s="161"/>
      <c r="I6" s="161"/>
      <c r="J6" s="188" t="s">
        <v>111</v>
      </c>
      <c r="K6" s="188"/>
      <c r="L6" s="14" t="s">
        <v>103</v>
      </c>
      <c r="M6" s="14" t="s">
        <v>112</v>
      </c>
      <c r="N6" s="14" t="s">
        <v>113</v>
      </c>
      <c r="O6" s="14" t="s">
        <v>114</v>
      </c>
      <c r="P6" s="14" t="s">
        <v>115</v>
      </c>
      <c r="Q6" s="14" t="s">
        <v>116</v>
      </c>
      <c r="R6" s="14" t="s">
        <v>8</v>
      </c>
      <c r="S6" s="14" t="s">
        <v>9</v>
      </c>
      <c r="T6" s="14" t="s">
        <v>10</v>
      </c>
      <c r="U6" s="14" t="s">
        <v>11</v>
      </c>
      <c r="V6" s="14" t="s">
        <v>12</v>
      </c>
      <c r="W6" s="14" t="s">
        <v>13</v>
      </c>
      <c r="X6" s="14" t="s">
        <v>14</v>
      </c>
      <c r="Y6" s="14" t="s">
        <v>104</v>
      </c>
      <c r="Z6" s="14" t="s">
        <v>117</v>
      </c>
    </row>
    <row r="7" spans="1:26" x14ac:dyDescent="0.25">
      <c r="A7" s="175" t="s">
        <v>22</v>
      </c>
      <c r="B7" s="175"/>
      <c r="C7" s="156">
        <v>0</v>
      </c>
      <c r="D7" s="11" t="s">
        <v>17</v>
      </c>
      <c r="E7" s="1">
        <v>0</v>
      </c>
      <c r="F7" s="10" t="s">
        <v>59</v>
      </c>
      <c r="G7" s="190" t="s">
        <v>162</v>
      </c>
      <c r="H7" s="190"/>
      <c r="I7" s="115" t="s">
        <v>19</v>
      </c>
      <c r="J7" s="189">
        <f>J4+K4</f>
        <v>12.882</v>
      </c>
      <c r="K7" s="189"/>
      <c r="L7" s="3">
        <f>L4*X33</f>
        <v>0</v>
      </c>
      <c r="M7" s="3">
        <f>M4*X35</f>
        <v>21.985039999999998</v>
      </c>
      <c r="N7" s="3">
        <f>N4*X36</f>
        <v>150.04274999999998</v>
      </c>
      <c r="O7" s="3">
        <f>O4*X37</f>
        <v>80.981693999999976</v>
      </c>
      <c r="P7" s="3">
        <f>P4*X38</f>
        <v>21.988427999999999</v>
      </c>
      <c r="Q7" s="3">
        <f>Q4*X39</f>
        <v>55.778000000000006</v>
      </c>
      <c r="R7" s="3">
        <f t="shared" ref="R7:X7" si="1">R4</f>
        <v>0.1</v>
      </c>
      <c r="S7" s="3">
        <f t="shared" si="1"/>
        <v>0</v>
      </c>
      <c r="T7" s="3">
        <f t="shared" si="1"/>
        <v>0.02</v>
      </c>
      <c r="U7" s="3">
        <f t="shared" si="1"/>
        <v>0</v>
      </c>
      <c r="V7" s="3">
        <f t="shared" si="1"/>
        <v>0.1</v>
      </c>
      <c r="W7" s="3">
        <f t="shared" si="1"/>
        <v>0</v>
      </c>
      <c r="X7" s="3">
        <f t="shared" si="1"/>
        <v>30</v>
      </c>
      <c r="Y7" s="3">
        <f>Y4*X41</f>
        <v>0</v>
      </c>
      <c r="Z7" s="3">
        <f>Z4*X42</f>
        <v>126.84546900698402</v>
      </c>
    </row>
    <row r="8" spans="1:26" x14ac:dyDescent="0.25">
      <c r="A8" s="175" t="s">
        <v>361</v>
      </c>
      <c r="B8" s="175"/>
      <c r="C8" s="156">
        <v>0</v>
      </c>
      <c r="D8" s="11" t="s">
        <v>17</v>
      </c>
      <c r="E8" s="1">
        <v>0</v>
      </c>
      <c r="F8" s="10" t="s">
        <v>59</v>
      </c>
      <c r="G8" s="190"/>
      <c r="H8" s="190"/>
      <c r="I8" s="115" t="s">
        <v>21</v>
      </c>
      <c r="J8" s="189">
        <f>J7/1000</f>
        <v>1.2881999999999999E-2</v>
      </c>
      <c r="K8" s="189"/>
      <c r="L8" s="3">
        <f>L7/1000</f>
        <v>0</v>
      </c>
      <c r="M8" s="3">
        <f t="shared" ref="M8:Z8" si="2">M7/1000</f>
        <v>2.1985039999999997E-2</v>
      </c>
      <c r="N8" s="3">
        <f t="shared" si="2"/>
        <v>0.15004274999999997</v>
      </c>
      <c r="O8" s="3">
        <f t="shared" si="2"/>
        <v>8.0981693999999979E-2</v>
      </c>
      <c r="P8" s="3">
        <f t="shared" si="2"/>
        <v>2.1988427999999997E-2</v>
      </c>
      <c r="Q8" s="3">
        <f t="shared" si="2"/>
        <v>5.5778000000000008E-2</v>
      </c>
      <c r="R8" s="3">
        <f t="shared" si="2"/>
        <v>1E-4</v>
      </c>
      <c r="S8" s="3">
        <f t="shared" si="2"/>
        <v>0</v>
      </c>
      <c r="T8" s="3">
        <f t="shared" si="2"/>
        <v>2.0000000000000002E-5</v>
      </c>
      <c r="U8" s="3">
        <f t="shared" si="2"/>
        <v>0</v>
      </c>
      <c r="V8" s="3">
        <f t="shared" si="2"/>
        <v>1E-4</v>
      </c>
      <c r="W8" s="3">
        <f t="shared" si="2"/>
        <v>0</v>
      </c>
      <c r="X8" s="3">
        <f t="shared" si="2"/>
        <v>0.03</v>
      </c>
      <c r="Y8" s="3">
        <f t="shared" si="2"/>
        <v>0</v>
      </c>
      <c r="Z8" s="3">
        <f t="shared" si="2"/>
        <v>0.12684546900698401</v>
      </c>
    </row>
    <row r="9" spans="1:26" x14ac:dyDescent="0.25">
      <c r="A9" s="174" t="s">
        <v>24</v>
      </c>
      <c r="B9" s="174"/>
      <c r="C9" s="156">
        <v>0</v>
      </c>
      <c r="D9" s="11" t="s">
        <v>17</v>
      </c>
      <c r="E9" s="1">
        <v>0</v>
      </c>
      <c r="F9" s="10" t="s">
        <v>59</v>
      </c>
      <c r="G9" s="169"/>
      <c r="H9" s="170"/>
      <c r="I9" s="170"/>
      <c r="J9" s="170"/>
      <c r="K9" s="170"/>
      <c r="L9" s="170"/>
      <c r="M9" s="170"/>
      <c r="N9" s="170"/>
      <c r="O9" s="170"/>
      <c r="P9" s="170"/>
      <c r="Q9" s="170"/>
      <c r="R9" s="170"/>
      <c r="S9" s="170"/>
      <c r="T9" s="170"/>
      <c r="U9" s="170"/>
      <c r="V9" s="170"/>
      <c r="W9" s="170"/>
      <c r="X9" s="170"/>
      <c r="Y9" s="170"/>
      <c r="Z9" s="170"/>
    </row>
    <row r="10" spans="1:26" x14ac:dyDescent="0.25">
      <c r="A10" s="174" t="s">
        <v>83</v>
      </c>
      <c r="B10" s="174"/>
      <c r="C10" s="156">
        <v>0</v>
      </c>
      <c r="D10" s="11" t="s">
        <v>17</v>
      </c>
      <c r="E10" s="1">
        <v>0</v>
      </c>
      <c r="F10" s="10" t="s">
        <v>59</v>
      </c>
      <c r="H10" s="161" t="s">
        <v>192</v>
      </c>
      <c r="I10" s="161"/>
      <c r="J10" s="161"/>
      <c r="K10" s="161"/>
      <c r="L10" s="161"/>
      <c r="N10" s="162" t="s">
        <v>163</v>
      </c>
      <c r="O10" s="163"/>
      <c r="P10" s="163"/>
      <c r="Q10" s="164"/>
      <c r="V10" s="162" t="s">
        <v>101</v>
      </c>
      <c r="W10" s="163"/>
      <c r="X10" s="164"/>
      <c r="Y10" s="161" t="s">
        <v>97</v>
      </c>
      <c r="Z10" s="161"/>
    </row>
    <row r="11" spans="1:26" x14ac:dyDescent="0.25">
      <c r="A11" s="175" t="s">
        <v>25</v>
      </c>
      <c r="B11" s="175"/>
      <c r="C11" s="156">
        <v>2.2000000000000002</v>
      </c>
      <c r="D11" s="11" t="s">
        <v>17</v>
      </c>
      <c r="E11" s="1">
        <v>0</v>
      </c>
      <c r="F11" s="10" t="s">
        <v>59</v>
      </c>
      <c r="H11" s="173" t="s">
        <v>362</v>
      </c>
      <c r="I11" s="173"/>
      <c r="J11" s="173"/>
      <c r="K11" s="178">
        <v>1</v>
      </c>
      <c r="L11" s="178"/>
      <c r="N11" s="172" t="s">
        <v>28</v>
      </c>
      <c r="O11" s="172"/>
      <c r="P11" s="12">
        <f>SUM(J57:Z57)*K11</f>
        <v>0.16176000000000001</v>
      </c>
      <c r="Q11" s="8" t="s">
        <v>29</v>
      </c>
      <c r="V11" s="4" t="s">
        <v>95</v>
      </c>
      <c r="W11" s="4" t="s">
        <v>96</v>
      </c>
      <c r="X11" s="4" t="s">
        <v>26</v>
      </c>
      <c r="Y11" s="4" t="s">
        <v>98</v>
      </c>
      <c r="Z11" s="4" t="s">
        <v>100</v>
      </c>
    </row>
    <row r="12" spans="1:26" x14ac:dyDescent="0.25">
      <c r="A12" s="181" t="s">
        <v>85</v>
      </c>
      <c r="B12" s="182"/>
      <c r="C12" s="182"/>
      <c r="D12" s="182"/>
      <c r="E12" s="182"/>
      <c r="F12" s="183"/>
      <c r="N12" s="172" t="s">
        <v>31</v>
      </c>
      <c r="O12" s="172"/>
      <c r="P12" s="12">
        <f>SUM(J58:Z58)*K11</f>
        <v>0.17764000000000002</v>
      </c>
      <c r="Q12" s="8" t="s">
        <v>29</v>
      </c>
      <c r="V12" s="36" t="s">
        <v>32</v>
      </c>
      <c r="W12" s="36" t="s">
        <v>0</v>
      </c>
      <c r="X12" s="36">
        <v>0.77600000000000002</v>
      </c>
      <c r="Y12" s="148" t="s">
        <v>41</v>
      </c>
      <c r="Z12" s="148">
        <v>18.038460000000001</v>
      </c>
    </row>
    <row r="13" spans="1:26" x14ac:dyDescent="0.25">
      <c r="A13" s="175" t="s">
        <v>27</v>
      </c>
      <c r="B13" s="175"/>
      <c r="C13" s="156">
        <v>15</v>
      </c>
      <c r="D13" s="6" t="s">
        <v>17</v>
      </c>
      <c r="E13" s="1">
        <v>0</v>
      </c>
      <c r="F13" s="7" t="s">
        <v>59</v>
      </c>
      <c r="H13" s="179" t="s">
        <v>193</v>
      </c>
      <c r="I13" s="179"/>
      <c r="J13" s="179"/>
      <c r="K13" s="179"/>
      <c r="L13" s="179"/>
      <c r="V13" s="44" t="s">
        <v>35</v>
      </c>
      <c r="W13" s="44" t="s">
        <v>1</v>
      </c>
      <c r="X13" s="44">
        <v>0.22600000000000001</v>
      </c>
      <c r="Y13" s="149" t="s">
        <v>35</v>
      </c>
      <c r="Z13" s="149">
        <v>62.004899999999999</v>
      </c>
    </row>
    <row r="14" spans="1:26" x14ac:dyDescent="0.25">
      <c r="A14" s="175" t="s">
        <v>30</v>
      </c>
      <c r="B14" s="175"/>
      <c r="C14" s="156">
        <v>8.1</v>
      </c>
      <c r="D14" s="6" t="s">
        <v>17</v>
      </c>
      <c r="E14" s="1">
        <v>0</v>
      </c>
      <c r="F14" s="7" t="s">
        <v>59</v>
      </c>
      <c r="H14" s="180" t="s">
        <v>34</v>
      </c>
      <c r="I14" s="180"/>
      <c r="J14" s="180"/>
      <c r="K14" s="178">
        <v>1</v>
      </c>
      <c r="L14" s="178"/>
      <c r="V14" s="36" t="s">
        <v>37</v>
      </c>
      <c r="W14" s="36" t="s">
        <v>1</v>
      </c>
      <c r="X14" s="36">
        <v>1.3480000000000001</v>
      </c>
      <c r="Y14" s="148" t="s">
        <v>38</v>
      </c>
      <c r="Z14" s="148">
        <v>46.005499999999998</v>
      </c>
    </row>
    <row r="15" spans="1:26" ht="15" customHeight="1" x14ac:dyDescent="0.25">
      <c r="A15" s="175" t="s">
        <v>33</v>
      </c>
      <c r="B15" s="175"/>
      <c r="C15" s="156">
        <v>2.2000000000000002</v>
      </c>
      <c r="D15" s="6" t="s">
        <v>17</v>
      </c>
      <c r="E15" s="1">
        <v>0</v>
      </c>
      <c r="F15" s="7" t="s">
        <v>59</v>
      </c>
      <c r="H15" s="9"/>
      <c r="I15" s="9"/>
      <c r="J15" s="9"/>
      <c r="K15" s="9"/>
      <c r="L15" s="9"/>
      <c r="N15" s="162" t="s">
        <v>332</v>
      </c>
      <c r="O15" s="163"/>
      <c r="P15" s="163"/>
      <c r="Q15" s="163"/>
      <c r="R15" s="164"/>
      <c r="S15" s="128" t="s">
        <v>26</v>
      </c>
      <c r="V15" s="44" t="s">
        <v>38</v>
      </c>
      <c r="W15" s="44" t="s">
        <v>35</v>
      </c>
      <c r="X15" s="44">
        <v>1.3480000000000001</v>
      </c>
      <c r="Y15" s="149" t="s">
        <v>102</v>
      </c>
      <c r="Z15" s="149">
        <v>14.0067</v>
      </c>
    </row>
    <row r="16" spans="1:26" x14ac:dyDescent="0.25">
      <c r="A16" s="174" t="s">
        <v>36</v>
      </c>
      <c r="B16" s="174"/>
      <c r="C16" s="156">
        <v>16.7</v>
      </c>
      <c r="D16" s="6" t="s">
        <v>17</v>
      </c>
      <c r="E16" s="1">
        <v>0</v>
      </c>
      <c r="F16" s="7" t="s">
        <v>59</v>
      </c>
      <c r="H16" s="9"/>
      <c r="I16" s="9"/>
      <c r="J16" s="9"/>
      <c r="K16" s="9"/>
      <c r="L16" s="9"/>
      <c r="N16" s="166"/>
      <c r="O16" s="166"/>
      <c r="P16" s="166"/>
      <c r="Q16" s="166"/>
      <c r="R16" s="109">
        <v>2</v>
      </c>
      <c r="S16" s="110">
        <f>VLOOKUP(R16,Tabelle4[#All],3,FALSE)</f>
        <v>640</v>
      </c>
      <c r="V16" s="36" t="s">
        <v>43</v>
      </c>
      <c r="W16" s="36" t="s">
        <v>2</v>
      </c>
      <c r="X16" s="36">
        <v>0.747</v>
      </c>
      <c r="Y16" s="104" t="s">
        <v>371</v>
      </c>
      <c r="Z16" s="104">
        <v>60.055300000000003</v>
      </c>
    </row>
    <row r="17" spans="1:29" x14ac:dyDescent="0.25">
      <c r="A17" s="174" t="s">
        <v>86</v>
      </c>
      <c r="B17" s="174"/>
      <c r="C17" s="156">
        <v>0</v>
      </c>
      <c r="D17" s="6" t="s">
        <v>17</v>
      </c>
      <c r="E17" s="1">
        <v>0</v>
      </c>
      <c r="F17" s="7" t="s">
        <v>59</v>
      </c>
      <c r="V17" s="44" t="s">
        <v>46</v>
      </c>
      <c r="W17" s="44" t="s">
        <v>2</v>
      </c>
      <c r="X17" s="44">
        <v>2.2909999999999999</v>
      </c>
      <c r="Y17" s="149" t="s">
        <v>2</v>
      </c>
      <c r="Z17" s="149">
        <v>141.94450000000001</v>
      </c>
    </row>
    <row r="18" spans="1:29" x14ac:dyDescent="0.25">
      <c r="A18" s="181" t="s">
        <v>87</v>
      </c>
      <c r="B18" s="182"/>
      <c r="C18" s="182"/>
      <c r="D18" s="182"/>
      <c r="E18" s="182"/>
      <c r="F18" s="183"/>
      <c r="H18" s="162" t="s">
        <v>45</v>
      </c>
      <c r="I18" s="163"/>
      <c r="J18" s="163"/>
      <c r="K18" s="163"/>
      <c r="L18" s="164"/>
      <c r="V18" s="36" t="s">
        <v>48</v>
      </c>
      <c r="W18" s="36" t="s">
        <v>3</v>
      </c>
      <c r="X18" s="36">
        <v>1.204</v>
      </c>
      <c r="Y18" s="42" t="s">
        <v>43</v>
      </c>
      <c r="Z18" s="42">
        <v>94.971400000000003</v>
      </c>
    </row>
    <row r="19" spans="1:29" x14ac:dyDescent="0.25">
      <c r="A19" s="175" t="s">
        <v>39</v>
      </c>
      <c r="B19" s="175"/>
      <c r="C19" s="156">
        <v>0.01</v>
      </c>
      <c r="D19" s="6" t="s">
        <v>17</v>
      </c>
      <c r="E19" s="1">
        <v>0</v>
      </c>
      <c r="F19" s="7" t="s">
        <v>59</v>
      </c>
      <c r="H19" s="176" t="s">
        <v>90</v>
      </c>
      <c r="I19" s="176"/>
      <c r="J19" s="176"/>
      <c r="K19" s="176"/>
      <c r="L19" s="176"/>
      <c r="N19" s="162" t="s">
        <v>333</v>
      </c>
      <c r="O19" s="163"/>
      <c r="P19" s="163"/>
      <c r="Q19" s="164"/>
      <c r="V19" s="44" t="s">
        <v>50</v>
      </c>
      <c r="W19" s="44" t="s">
        <v>4</v>
      </c>
      <c r="X19" s="44">
        <v>1.399</v>
      </c>
      <c r="Y19" s="43" t="s">
        <v>103</v>
      </c>
      <c r="Z19" s="43">
        <v>30.973762000000001</v>
      </c>
    </row>
    <row r="20" spans="1:29" x14ac:dyDescent="0.25">
      <c r="A20" s="175" t="s">
        <v>40</v>
      </c>
      <c r="B20" s="175"/>
      <c r="C20" s="156">
        <v>0</v>
      </c>
      <c r="D20" s="6" t="s">
        <v>17</v>
      </c>
      <c r="E20" s="1">
        <v>0</v>
      </c>
      <c r="F20" s="7" t="s">
        <v>59</v>
      </c>
      <c r="H20" s="176"/>
      <c r="I20" s="176"/>
      <c r="J20" s="176"/>
      <c r="K20" s="176"/>
      <c r="L20" s="176"/>
      <c r="N20" s="172" t="s">
        <v>28</v>
      </c>
      <c r="O20" s="172"/>
      <c r="P20" s="13">
        <f>SUM(J59:Z59)</f>
        <v>103.52640000000001</v>
      </c>
      <c r="Q20" s="8" t="s">
        <v>119</v>
      </c>
      <c r="V20" s="36" t="s">
        <v>52</v>
      </c>
      <c r="W20" s="36" t="s">
        <v>5</v>
      </c>
      <c r="X20" s="36">
        <v>1.6579999999999999</v>
      </c>
      <c r="Y20" s="45" t="s">
        <v>3</v>
      </c>
      <c r="Z20" s="45">
        <v>94.195999999999998</v>
      </c>
    </row>
    <row r="21" spans="1:29" x14ac:dyDescent="0.25">
      <c r="A21" s="175" t="s">
        <v>42</v>
      </c>
      <c r="B21" s="175"/>
      <c r="C21" s="156">
        <v>2E-3</v>
      </c>
      <c r="D21" s="6" t="s">
        <v>17</v>
      </c>
      <c r="E21" s="1">
        <v>0</v>
      </c>
      <c r="F21" s="7" t="s">
        <v>59</v>
      </c>
      <c r="H21" s="176"/>
      <c r="I21" s="176"/>
      <c r="J21" s="176"/>
      <c r="K21" s="176"/>
      <c r="L21" s="176"/>
      <c r="N21" s="172" t="s">
        <v>31</v>
      </c>
      <c r="O21" s="172"/>
      <c r="P21" s="13">
        <f>SUM(J60:Z60)</f>
        <v>113.68960000000001</v>
      </c>
      <c r="Q21" s="8" t="s">
        <v>119</v>
      </c>
      <c r="V21" s="44" t="s">
        <v>54</v>
      </c>
      <c r="W21" s="44" t="s">
        <v>6</v>
      </c>
      <c r="X21" s="44">
        <v>1.347</v>
      </c>
      <c r="Y21" s="43" t="s">
        <v>48</v>
      </c>
      <c r="Z21" s="43">
        <v>39.098300000000002</v>
      </c>
    </row>
    <row r="22" spans="1:29" x14ac:dyDescent="0.25">
      <c r="A22" s="175" t="s">
        <v>44</v>
      </c>
      <c r="B22" s="175"/>
      <c r="C22" s="156">
        <v>0</v>
      </c>
      <c r="D22" s="6" t="s">
        <v>17</v>
      </c>
      <c r="E22" s="1">
        <v>0</v>
      </c>
      <c r="F22" s="7" t="s">
        <v>59</v>
      </c>
      <c r="H22" s="176"/>
      <c r="I22" s="176"/>
      <c r="J22" s="176"/>
      <c r="K22" s="176"/>
      <c r="L22" s="176"/>
      <c r="V22" s="36" t="s">
        <v>55</v>
      </c>
      <c r="W22" s="36" t="s">
        <v>7</v>
      </c>
      <c r="X22" s="36">
        <v>2.996</v>
      </c>
      <c r="Y22" s="45" t="s">
        <v>4</v>
      </c>
      <c r="Z22" s="45">
        <v>56.077399999999997</v>
      </c>
    </row>
    <row r="23" spans="1:29" x14ac:dyDescent="0.25">
      <c r="A23" s="175" t="s">
        <v>47</v>
      </c>
      <c r="B23" s="175"/>
      <c r="C23" s="156">
        <v>0.01</v>
      </c>
      <c r="D23" s="6" t="s">
        <v>17</v>
      </c>
      <c r="E23" s="1">
        <v>0</v>
      </c>
      <c r="F23" s="7" t="s">
        <v>59</v>
      </c>
      <c r="H23" s="176"/>
      <c r="I23" s="176"/>
      <c r="J23" s="176"/>
      <c r="K23" s="176"/>
      <c r="L23" s="176"/>
      <c r="V23" s="44" t="s">
        <v>105</v>
      </c>
      <c r="W23" s="44" t="s">
        <v>15</v>
      </c>
      <c r="X23" s="44">
        <v>2.1389999999999998</v>
      </c>
      <c r="Y23" s="43" t="s">
        <v>50</v>
      </c>
      <c r="Z23" s="43">
        <v>40.078000000000003</v>
      </c>
    </row>
    <row r="24" spans="1:29" x14ac:dyDescent="0.25">
      <c r="A24" s="175" t="s">
        <v>49</v>
      </c>
      <c r="B24" s="175"/>
      <c r="C24" s="156">
        <v>0</v>
      </c>
      <c r="D24" s="6" t="s">
        <v>17</v>
      </c>
      <c r="E24" s="1">
        <v>0</v>
      </c>
      <c r="F24" s="7" t="s">
        <v>59</v>
      </c>
      <c r="H24" s="176"/>
      <c r="I24" s="176"/>
      <c r="J24" s="176"/>
      <c r="K24" s="176"/>
      <c r="L24" s="176"/>
      <c r="V24" s="36" t="s">
        <v>56</v>
      </c>
      <c r="W24" s="36" t="s">
        <v>16</v>
      </c>
      <c r="X24" s="36">
        <v>0.60899999999999999</v>
      </c>
      <c r="Y24" s="45" t="s">
        <v>5</v>
      </c>
      <c r="Z24" s="45">
        <v>40.304400000000001</v>
      </c>
    </row>
    <row r="25" spans="1:29" x14ac:dyDescent="0.25">
      <c r="A25" s="175" t="s">
        <v>51</v>
      </c>
      <c r="B25" s="175"/>
      <c r="C25" s="156">
        <v>3</v>
      </c>
      <c r="D25" s="6" t="s">
        <v>17</v>
      </c>
      <c r="E25" s="1">
        <v>0</v>
      </c>
      <c r="F25" s="7" t="s">
        <v>59</v>
      </c>
      <c r="H25" s="176"/>
      <c r="I25" s="176"/>
      <c r="J25" s="176"/>
      <c r="K25" s="176"/>
      <c r="L25" s="176"/>
      <c r="V25" s="44" t="s">
        <v>58</v>
      </c>
      <c r="W25" s="44" t="s">
        <v>56</v>
      </c>
      <c r="X25" s="44">
        <v>1.64</v>
      </c>
      <c r="Y25" s="43" t="s">
        <v>52</v>
      </c>
      <c r="Z25" s="43">
        <v>24.305</v>
      </c>
    </row>
    <row r="26" spans="1:29" x14ac:dyDescent="0.25">
      <c r="A26" s="175" t="s">
        <v>53</v>
      </c>
      <c r="B26" s="175"/>
      <c r="C26" s="156">
        <v>0</v>
      </c>
      <c r="D26" s="6" t="s">
        <v>17</v>
      </c>
      <c r="E26" s="1">
        <v>0</v>
      </c>
      <c r="F26" s="7" t="s">
        <v>59</v>
      </c>
      <c r="V26" s="36" t="s">
        <v>109</v>
      </c>
      <c r="W26" s="36" t="s">
        <v>56</v>
      </c>
      <c r="X26" s="36">
        <v>17.815000000000001</v>
      </c>
      <c r="Y26" s="45" t="s">
        <v>6</v>
      </c>
      <c r="Z26" s="45">
        <v>61.978940000000001</v>
      </c>
    </row>
    <row r="27" spans="1:29" x14ac:dyDescent="0.25">
      <c r="A27" s="175" t="s">
        <v>91</v>
      </c>
      <c r="B27" s="175"/>
      <c r="C27" s="156">
        <v>0</v>
      </c>
      <c r="D27" s="6" t="s">
        <v>17</v>
      </c>
      <c r="E27" s="1">
        <v>0</v>
      </c>
      <c r="F27" s="7" t="s">
        <v>59</v>
      </c>
      <c r="N27" s="9"/>
      <c r="O27" s="9"/>
      <c r="P27" s="9"/>
      <c r="Q27" s="9"/>
      <c r="V27" s="44" t="s">
        <v>107</v>
      </c>
      <c r="W27" s="44" t="s">
        <v>56</v>
      </c>
      <c r="X27" s="44">
        <v>10.007999999999999</v>
      </c>
      <c r="Y27" s="43" t="s">
        <v>54</v>
      </c>
      <c r="Z27" s="43">
        <v>22.989769280000001</v>
      </c>
    </row>
    <row r="28" spans="1:29" x14ac:dyDescent="0.25">
      <c r="A28" s="177" t="s">
        <v>341</v>
      </c>
      <c r="B28" s="177"/>
      <c r="C28" s="177"/>
      <c r="D28" s="177"/>
      <c r="E28" s="177"/>
      <c r="F28" s="177"/>
      <c r="N28" s="9"/>
      <c r="O28" s="9"/>
      <c r="V28" s="36" t="s">
        <v>106</v>
      </c>
      <c r="W28" s="36" t="s">
        <v>56</v>
      </c>
      <c r="X28" s="36">
        <v>100.0869</v>
      </c>
      <c r="Y28" s="42" t="s">
        <v>7</v>
      </c>
      <c r="Z28" s="42">
        <v>96.062600000000003</v>
      </c>
    </row>
    <row r="29" spans="1:29" x14ac:dyDescent="0.25">
      <c r="A29" s="174" t="s">
        <v>94</v>
      </c>
      <c r="B29" s="174"/>
      <c r="C29" s="156">
        <v>0</v>
      </c>
      <c r="D29" s="6" t="s">
        <v>17</v>
      </c>
      <c r="E29" s="1">
        <v>0</v>
      </c>
      <c r="F29" s="7" t="s">
        <v>59</v>
      </c>
      <c r="N29" s="9"/>
      <c r="O29" s="9"/>
      <c r="V29" s="161" t="s">
        <v>317</v>
      </c>
      <c r="W29" s="161"/>
      <c r="X29" s="161"/>
      <c r="Y29" s="43" t="s">
        <v>55</v>
      </c>
      <c r="Z29" s="43">
        <v>32.064999999999998</v>
      </c>
    </row>
    <row r="30" spans="1:29" x14ac:dyDescent="0.25">
      <c r="A30" s="174" t="s">
        <v>92</v>
      </c>
      <c r="B30" s="174"/>
      <c r="C30" s="156">
        <v>0</v>
      </c>
      <c r="D30" s="6" t="s">
        <v>17</v>
      </c>
      <c r="E30" s="1">
        <v>0</v>
      </c>
      <c r="F30" s="7" t="s">
        <v>59</v>
      </c>
      <c r="V30" s="17" t="s">
        <v>95</v>
      </c>
      <c r="W30" s="17" t="s">
        <v>96</v>
      </c>
      <c r="X30" s="17" t="s">
        <v>26</v>
      </c>
      <c r="Y30" s="42" t="s">
        <v>8</v>
      </c>
      <c r="Z30" s="42">
        <v>55.844999999999999</v>
      </c>
      <c r="AB30" s="9"/>
      <c r="AC30" s="9"/>
    </row>
    <row r="31" spans="1:29" x14ac:dyDescent="0.25">
      <c r="A31" s="174" t="s">
        <v>108</v>
      </c>
      <c r="B31" s="174"/>
      <c r="C31" s="156">
        <v>0</v>
      </c>
      <c r="D31" s="6" t="s">
        <v>57</v>
      </c>
      <c r="E31" s="1">
        <v>0</v>
      </c>
      <c r="F31" s="7" t="s">
        <v>93</v>
      </c>
      <c r="V31" s="91" t="s">
        <v>0</v>
      </c>
      <c r="W31" s="91" t="s">
        <v>41</v>
      </c>
      <c r="X31" s="91">
        <v>1.2869999999999999</v>
      </c>
      <c r="Y31" s="43" t="s">
        <v>9</v>
      </c>
      <c r="Z31" s="43">
        <v>54.938045000000002</v>
      </c>
      <c r="AB31" s="9"/>
      <c r="AC31" s="9"/>
    </row>
    <row r="32" spans="1:29" x14ac:dyDescent="0.25">
      <c r="A32" s="174" t="s">
        <v>89</v>
      </c>
      <c r="B32" s="174"/>
      <c r="C32" s="156">
        <v>1.04</v>
      </c>
      <c r="D32" s="6" t="s">
        <v>59</v>
      </c>
      <c r="V32" s="92" t="s">
        <v>1</v>
      </c>
      <c r="W32" s="92" t="s">
        <v>35</v>
      </c>
      <c r="X32" s="92">
        <v>4.4260000000000002</v>
      </c>
      <c r="Y32" s="42" t="s">
        <v>10</v>
      </c>
      <c r="Z32" s="42">
        <v>63.545999999999999</v>
      </c>
      <c r="AB32" s="9"/>
      <c r="AC32" s="9"/>
    </row>
    <row r="33" spans="1:29" x14ac:dyDescent="0.25">
      <c r="V33" s="91" t="s">
        <v>2</v>
      </c>
      <c r="W33" s="91" t="s">
        <v>46</v>
      </c>
      <c r="X33" s="91">
        <v>0.436</v>
      </c>
      <c r="Y33" s="43" t="s">
        <v>11</v>
      </c>
      <c r="Z33" s="43">
        <v>65.38</v>
      </c>
      <c r="AB33" s="9"/>
      <c r="AC33" s="9"/>
    </row>
    <row r="34" spans="1:29" x14ac:dyDescent="0.25">
      <c r="V34" s="92" t="s">
        <v>2</v>
      </c>
      <c r="W34" s="92" t="s">
        <v>43</v>
      </c>
      <c r="X34" s="92">
        <v>1.3380000000000001</v>
      </c>
      <c r="Y34" s="42" t="s">
        <v>12</v>
      </c>
      <c r="Z34" s="42">
        <v>10.811</v>
      </c>
      <c r="AB34" s="9"/>
      <c r="AC34" s="9"/>
    </row>
    <row r="35" spans="1:29" x14ac:dyDescent="0.25">
      <c r="V35" s="91" t="s">
        <v>3</v>
      </c>
      <c r="W35" s="91" t="s">
        <v>48</v>
      </c>
      <c r="X35" s="48">
        <v>0.83</v>
      </c>
      <c r="Y35" s="43" t="s">
        <v>99</v>
      </c>
      <c r="Z35" s="43">
        <v>95.96</v>
      </c>
      <c r="AB35" s="9"/>
      <c r="AC35" s="9"/>
    </row>
    <row r="36" spans="1:29" x14ac:dyDescent="0.25">
      <c r="J36" s="5"/>
      <c r="V36" s="92" t="s">
        <v>4</v>
      </c>
      <c r="W36" s="92" t="s">
        <v>50</v>
      </c>
      <c r="X36" s="92">
        <v>0.71499999999999997</v>
      </c>
      <c r="Y36" s="104" t="s">
        <v>320</v>
      </c>
      <c r="Z36" s="104">
        <v>159.95760000000001</v>
      </c>
      <c r="AB36" s="9"/>
      <c r="AC36" s="9"/>
    </row>
    <row r="37" spans="1:29" x14ac:dyDescent="0.25">
      <c r="V37" s="91" t="s">
        <v>5</v>
      </c>
      <c r="W37" s="91" t="s">
        <v>52</v>
      </c>
      <c r="X37" s="91">
        <v>0.60299999999999998</v>
      </c>
      <c r="Y37" s="94" t="s">
        <v>14</v>
      </c>
      <c r="Z37" s="94">
        <v>35.453000000000003</v>
      </c>
      <c r="AB37" s="9"/>
      <c r="AC37" s="9"/>
    </row>
    <row r="38" spans="1:29" x14ac:dyDescent="0.25">
      <c r="V38" s="92" t="s">
        <v>6</v>
      </c>
      <c r="W38" s="92" t="s">
        <v>115</v>
      </c>
      <c r="X38" s="92">
        <v>0.74199999999999999</v>
      </c>
      <c r="Y38" s="93" t="s">
        <v>15</v>
      </c>
      <c r="Z38" s="93">
        <v>60.084299999999999</v>
      </c>
      <c r="AB38" s="9"/>
      <c r="AC38" s="9"/>
    </row>
    <row r="39" spans="1:29" x14ac:dyDescent="0.25">
      <c r="V39" s="91" t="s">
        <v>7</v>
      </c>
      <c r="W39" s="91" t="s">
        <v>55</v>
      </c>
      <c r="X39" s="91">
        <v>0.33400000000000002</v>
      </c>
      <c r="Y39" s="94" t="s">
        <v>104</v>
      </c>
      <c r="Z39" s="94">
        <v>28.0855</v>
      </c>
      <c r="AB39" s="9"/>
      <c r="AC39" s="9"/>
    </row>
    <row r="40" spans="1:29" x14ac:dyDescent="0.25">
      <c r="V40" s="105" t="s">
        <v>13</v>
      </c>
      <c r="W40" s="105" t="s">
        <v>320</v>
      </c>
      <c r="X40" s="105">
        <v>1.6659999999999999</v>
      </c>
      <c r="Y40" s="93" t="s">
        <v>56</v>
      </c>
      <c r="Z40" s="107">
        <v>100.0869</v>
      </c>
      <c r="AB40" s="9"/>
      <c r="AC40" s="9"/>
    </row>
    <row r="41" spans="1:29" x14ac:dyDescent="0.25">
      <c r="V41" s="92" t="s">
        <v>15</v>
      </c>
      <c r="W41" s="92" t="s">
        <v>104</v>
      </c>
      <c r="X41" s="92">
        <v>0.46700000000000003</v>
      </c>
      <c r="Y41" s="94" t="s">
        <v>58</v>
      </c>
      <c r="Z41" s="94">
        <v>61.016800000000003</v>
      </c>
    </row>
    <row r="42" spans="1:29" x14ac:dyDescent="0.25">
      <c r="V42" s="91" t="s">
        <v>16</v>
      </c>
      <c r="W42" s="91" t="s">
        <v>118</v>
      </c>
      <c r="X42" s="91">
        <v>0.2001</v>
      </c>
      <c r="Y42" s="93" t="s">
        <v>16</v>
      </c>
      <c r="Z42" s="93">
        <v>60.008899999999997</v>
      </c>
    </row>
    <row r="43" spans="1:29" ht="15" customHeight="1" x14ac:dyDescent="0.25">
      <c r="V43" s="92" t="s">
        <v>16</v>
      </c>
      <c r="W43" s="92" t="s">
        <v>58</v>
      </c>
      <c r="X43" s="92">
        <v>1.0169999999999999</v>
      </c>
      <c r="Y43" s="94" t="s">
        <v>118</v>
      </c>
      <c r="Z43" s="94">
        <v>12.0107</v>
      </c>
    </row>
    <row r="44" spans="1:29" x14ac:dyDescent="0.25">
      <c r="V44" s="147" t="s">
        <v>371</v>
      </c>
      <c r="W44" s="147" t="s">
        <v>41</v>
      </c>
      <c r="X44" s="147">
        <v>2</v>
      </c>
    </row>
    <row r="45" spans="1:29" x14ac:dyDescent="0.25">
      <c r="A45" s="161" t="s">
        <v>330</v>
      </c>
      <c r="B45" s="161"/>
      <c r="C45" s="161"/>
    </row>
    <row r="46" spans="1:29" x14ac:dyDescent="0.25">
      <c r="A46" s="125" t="s">
        <v>154</v>
      </c>
      <c r="B46" s="126" t="s">
        <v>331</v>
      </c>
      <c r="C46" s="127" t="s">
        <v>26</v>
      </c>
    </row>
    <row r="47" spans="1:29" x14ac:dyDescent="0.25">
      <c r="A47" s="113">
        <v>1</v>
      </c>
      <c r="B47" s="118" t="s">
        <v>336</v>
      </c>
      <c r="C47" s="120">
        <v>500</v>
      </c>
      <c r="F47" s="171" t="s">
        <v>177</v>
      </c>
      <c r="G47" s="171"/>
      <c r="H47" s="171"/>
      <c r="I47" s="171"/>
      <c r="J47" s="161" t="s">
        <v>81</v>
      </c>
      <c r="K47" s="161" t="s">
        <v>82</v>
      </c>
      <c r="L47" s="161" t="s">
        <v>60</v>
      </c>
      <c r="M47" s="161" t="s">
        <v>61</v>
      </c>
      <c r="N47" s="161" t="s">
        <v>62</v>
      </c>
      <c r="O47" s="161" t="s">
        <v>63</v>
      </c>
      <c r="P47" s="161" t="s">
        <v>64</v>
      </c>
      <c r="Q47" s="161" t="s">
        <v>318</v>
      </c>
      <c r="R47" s="161" t="s">
        <v>65</v>
      </c>
      <c r="S47" s="161" t="s">
        <v>66</v>
      </c>
      <c r="T47" s="161" t="s">
        <v>67</v>
      </c>
      <c r="U47" s="161" t="s">
        <v>68</v>
      </c>
      <c r="V47" s="161" t="s">
        <v>210</v>
      </c>
      <c r="W47" s="161" t="s">
        <v>319</v>
      </c>
      <c r="X47" s="161" t="s">
        <v>69</v>
      </c>
      <c r="Y47" s="161" t="s">
        <v>15</v>
      </c>
      <c r="Z47" s="161" t="s">
        <v>70</v>
      </c>
    </row>
    <row r="48" spans="1:29" x14ac:dyDescent="0.25">
      <c r="A48" s="113">
        <v>2</v>
      </c>
      <c r="B48" s="119" t="s">
        <v>337</v>
      </c>
      <c r="C48" s="121">
        <v>640</v>
      </c>
      <c r="F48" s="171"/>
      <c r="G48" s="171"/>
      <c r="H48" s="171"/>
      <c r="I48" s="171"/>
      <c r="J48" s="161"/>
      <c r="K48" s="161"/>
      <c r="L48" s="161"/>
      <c r="M48" s="161"/>
      <c r="N48" s="161"/>
      <c r="O48" s="161"/>
      <c r="P48" s="161"/>
      <c r="Q48" s="161"/>
      <c r="R48" s="161"/>
      <c r="S48" s="161"/>
      <c r="T48" s="161"/>
      <c r="U48" s="161"/>
      <c r="V48" s="161"/>
      <c r="W48" s="161"/>
      <c r="X48" s="161"/>
      <c r="Y48" s="161"/>
      <c r="Z48" s="161"/>
    </row>
    <row r="49" spans="1:26" x14ac:dyDescent="0.25">
      <c r="A49" s="122">
        <v>3</v>
      </c>
      <c r="B49" s="124" t="s">
        <v>338</v>
      </c>
      <c r="C49" s="123">
        <v>700</v>
      </c>
      <c r="F49" s="165" t="s">
        <v>71</v>
      </c>
      <c r="G49" s="165"/>
      <c r="H49" s="165"/>
      <c r="I49" s="165"/>
      <c r="J49" s="109">
        <f>X31</f>
        <v>1.2869999999999999</v>
      </c>
      <c r="K49" s="109">
        <f>X32</f>
        <v>4.4260000000000002</v>
      </c>
      <c r="L49" s="109">
        <f>X34</f>
        <v>1.3380000000000001</v>
      </c>
      <c r="M49" s="48">
        <f>X35</f>
        <v>0.83</v>
      </c>
      <c r="N49" s="109">
        <f>X36</f>
        <v>0.71499999999999997</v>
      </c>
      <c r="O49" s="109">
        <f>X37</f>
        <v>0.60299999999999998</v>
      </c>
      <c r="P49" s="109">
        <f>X38</f>
        <v>0.74199999999999999</v>
      </c>
      <c r="Q49" s="109">
        <v>1</v>
      </c>
      <c r="R49" s="109">
        <v>1</v>
      </c>
      <c r="S49" s="109">
        <v>1</v>
      </c>
      <c r="T49" s="109">
        <v>1</v>
      </c>
      <c r="U49" s="109">
        <v>1</v>
      </c>
      <c r="V49" s="109">
        <v>1</v>
      </c>
      <c r="W49" s="109">
        <f>X40</f>
        <v>1.6659999999999999</v>
      </c>
      <c r="X49" s="109">
        <v>1</v>
      </c>
      <c r="Y49" s="109">
        <v>1</v>
      </c>
      <c r="Z49" s="109">
        <f>X43</f>
        <v>1.0169999999999999</v>
      </c>
    </row>
    <row r="50" spans="1:26" x14ac:dyDescent="0.25">
      <c r="F50" s="167" t="s">
        <v>72</v>
      </c>
      <c r="G50" s="167"/>
      <c r="H50" s="167"/>
      <c r="I50" s="167"/>
      <c r="J50" s="112">
        <f>Z12</f>
        <v>18.038460000000001</v>
      </c>
      <c r="K50" s="112">
        <f>Z13</f>
        <v>62.004899999999999</v>
      </c>
      <c r="L50" s="112">
        <f>Z18</f>
        <v>94.971400000000003</v>
      </c>
      <c r="M50" s="112">
        <f>Z21</f>
        <v>39.098300000000002</v>
      </c>
      <c r="N50" s="112">
        <f>Z23</f>
        <v>40.078000000000003</v>
      </c>
      <c r="O50" s="112">
        <f>Z25</f>
        <v>24.305</v>
      </c>
      <c r="P50" s="112">
        <f>Z27</f>
        <v>22.989769280000001</v>
      </c>
      <c r="Q50" s="112">
        <f>Z28</f>
        <v>96.062600000000003</v>
      </c>
      <c r="R50" s="112">
        <f>Z30</f>
        <v>55.844999999999999</v>
      </c>
      <c r="S50" s="112">
        <f>Z31</f>
        <v>54.938045000000002</v>
      </c>
      <c r="T50" s="112">
        <f>Z32</f>
        <v>63.545999999999999</v>
      </c>
      <c r="U50" s="112">
        <f>Z33</f>
        <v>65.38</v>
      </c>
      <c r="V50" s="112">
        <f>Z34</f>
        <v>10.811</v>
      </c>
      <c r="W50" s="112">
        <f>Z36</f>
        <v>159.95760000000001</v>
      </c>
      <c r="X50" s="112">
        <f>Z37</f>
        <v>35.453000000000003</v>
      </c>
      <c r="Y50" s="112">
        <f>Z38</f>
        <v>60.084299999999999</v>
      </c>
      <c r="Z50" s="112">
        <f>Z41</f>
        <v>61.016800000000003</v>
      </c>
    </row>
    <row r="51" spans="1:26" x14ac:dyDescent="0.25">
      <c r="F51" s="165" t="s">
        <v>73</v>
      </c>
      <c r="G51" s="165"/>
      <c r="H51" s="165"/>
      <c r="I51" s="165"/>
      <c r="J51" s="106">
        <f t="shared" ref="J51:Z51" si="3">(J5*J49)/J50</f>
        <v>0</v>
      </c>
      <c r="K51" s="106">
        <f t="shared" si="3"/>
        <v>9.1953590764600867E-4</v>
      </c>
      <c r="L51" s="106">
        <f t="shared" si="3"/>
        <v>0</v>
      </c>
      <c r="M51" s="106">
        <f t="shared" si="3"/>
        <v>5.6230168575104283E-4</v>
      </c>
      <c r="N51" s="106">
        <f t="shared" si="3"/>
        <v>3.7437684016168463E-3</v>
      </c>
      <c r="O51" s="106">
        <f t="shared" si="3"/>
        <v>3.331894425015428E-3</v>
      </c>
      <c r="P51" s="106">
        <f t="shared" si="3"/>
        <v>9.5644404831539051E-4</v>
      </c>
      <c r="Q51" s="106">
        <f t="shared" si="3"/>
        <v>1.7384497192455754E-3</v>
      </c>
      <c r="R51" s="106">
        <f t="shared" si="3"/>
        <v>1.7906706061420004E-6</v>
      </c>
      <c r="S51" s="106">
        <f t="shared" si="3"/>
        <v>0</v>
      </c>
      <c r="T51" s="106">
        <f t="shared" si="3"/>
        <v>3.1473263462688446E-7</v>
      </c>
      <c r="U51" s="106">
        <f t="shared" si="3"/>
        <v>0</v>
      </c>
      <c r="V51" s="106">
        <f t="shared" si="3"/>
        <v>9.2498381278327637E-6</v>
      </c>
      <c r="W51" s="106">
        <f t="shared" si="3"/>
        <v>0</v>
      </c>
      <c r="X51" s="106">
        <f t="shared" si="3"/>
        <v>8.4619073139085535E-4</v>
      </c>
      <c r="Y51" s="106">
        <f t="shared" si="3"/>
        <v>0</v>
      </c>
      <c r="Z51" s="106">
        <f t="shared" si="3"/>
        <v>1.0565727249991479E-2</v>
      </c>
    </row>
    <row r="52" spans="1:26" x14ac:dyDescent="0.25">
      <c r="F52" s="167" t="s">
        <v>74</v>
      </c>
      <c r="G52" s="167"/>
      <c r="H52" s="167"/>
      <c r="I52" s="167"/>
      <c r="J52" s="117">
        <f t="shared" ref="J52:U52" si="4">J51/$I$3</f>
        <v>0</v>
      </c>
      <c r="K52" s="117">
        <f t="shared" si="4"/>
        <v>9.1953590764600872E-5</v>
      </c>
      <c r="L52" s="117">
        <f t="shared" si="4"/>
        <v>0</v>
      </c>
      <c r="M52" s="117">
        <f t="shared" si="4"/>
        <v>5.6230168575104283E-5</v>
      </c>
      <c r="N52" s="117">
        <f t="shared" si="4"/>
        <v>3.7437684016168463E-4</v>
      </c>
      <c r="O52" s="117">
        <f t="shared" si="4"/>
        <v>3.331894425015428E-4</v>
      </c>
      <c r="P52" s="117">
        <f t="shared" si="4"/>
        <v>9.5644404831539054E-5</v>
      </c>
      <c r="Q52" s="117">
        <f t="shared" si="4"/>
        <v>1.7384497192455753E-4</v>
      </c>
      <c r="R52" s="117">
        <f t="shared" si="4"/>
        <v>1.7906706061420003E-7</v>
      </c>
      <c r="S52" s="117">
        <f t="shared" si="4"/>
        <v>0</v>
      </c>
      <c r="T52" s="117">
        <f t="shared" si="4"/>
        <v>3.1473263462688446E-8</v>
      </c>
      <c r="U52" s="117">
        <f t="shared" si="4"/>
        <v>0</v>
      </c>
      <c r="V52" s="117">
        <v>0</v>
      </c>
      <c r="W52" s="117">
        <f>W51/$I$3</f>
        <v>0</v>
      </c>
      <c r="X52" s="117">
        <f>X51/$I$3</f>
        <v>8.4619073139085538E-5</v>
      </c>
      <c r="Y52" s="117">
        <f>Y51/$I$3</f>
        <v>0</v>
      </c>
      <c r="Z52" s="117">
        <f>Z51/$I$3</f>
        <v>1.0565727249991479E-3</v>
      </c>
    </row>
    <row r="53" spans="1:26" x14ac:dyDescent="0.25">
      <c r="F53" s="165" t="s">
        <v>75</v>
      </c>
      <c r="G53" s="165"/>
      <c r="H53" s="165"/>
      <c r="I53" s="165"/>
      <c r="J53" s="109">
        <v>1</v>
      </c>
      <c r="K53" s="109">
        <v>1</v>
      </c>
      <c r="L53" s="109">
        <v>3</v>
      </c>
      <c r="M53" s="109">
        <v>1</v>
      </c>
      <c r="N53" s="109">
        <v>2</v>
      </c>
      <c r="O53" s="109">
        <v>2</v>
      </c>
      <c r="P53" s="109">
        <v>1</v>
      </c>
      <c r="Q53" s="109">
        <v>2</v>
      </c>
      <c r="R53" s="109">
        <v>2</v>
      </c>
      <c r="S53" s="109">
        <v>2</v>
      </c>
      <c r="T53" s="109">
        <v>2</v>
      </c>
      <c r="U53" s="109">
        <v>2</v>
      </c>
      <c r="V53" s="109">
        <v>0</v>
      </c>
      <c r="W53" s="109">
        <v>2</v>
      </c>
      <c r="X53" s="109">
        <v>1</v>
      </c>
      <c r="Y53" s="109">
        <v>1</v>
      </c>
      <c r="Z53" s="109">
        <v>1</v>
      </c>
    </row>
    <row r="54" spans="1:26" x14ac:dyDescent="0.25">
      <c r="F54" s="167" t="s">
        <v>76</v>
      </c>
      <c r="G54" s="167"/>
      <c r="H54" s="167"/>
      <c r="I54" s="167"/>
      <c r="J54" s="117">
        <f>ROUND(J52*J53,5)</f>
        <v>0</v>
      </c>
      <c r="K54" s="117">
        <f t="shared" ref="K54:Z54" si="5">ROUND(K52*K53,5)</f>
        <v>9.0000000000000006E-5</v>
      </c>
      <c r="L54" s="117">
        <f t="shared" si="5"/>
        <v>0</v>
      </c>
      <c r="M54" s="117">
        <f t="shared" si="5"/>
        <v>6.0000000000000002E-5</v>
      </c>
      <c r="N54" s="117">
        <f t="shared" si="5"/>
        <v>7.5000000000000002E-4</v>
      </c>
      <c r="O54" s="117">
        <f t="shared" si="5"/>
        <v>6.7000000000000002E-4</v>
      </c>
      <c r="P54" s="117">
        <f t="shared" si="5"/>
        <v>1E-4</v>
      </c>
      <c r="Q54" s="117">
        <f t="shared" si="5"/>
        <v>3.5E-4</v>
      </c>
      <c r="R54" s="117">
        <f t="shared" si="5"/>
        <v>0</v>
      </c>
      <c r="S54" s="117">
        <f t="shared" si="5"/>
        <v>0</v>
      </c>
      <c r="T54" s="117">
        <f t="shared" si="5"/>
        <v>0</v>
      </c>
      <c r="U54" s="117">
        <f t="shared" si="5"/>
        <v>0</v>
      </c>
      <c r="V54" s="117">
        <f t="shared" si="5"/>
        <v>0</v>
      </c>
      <c r="W54" s="117">
        <f t="shared" si="5"/>
        <v>0</v>
      </c>
      <c r="X54" s="117">
        <f t="shared" si="5"/>
        <v>8.0000000000000007E-5</v>
      </c>
      <c r="Y54" s="117">
        <f t="shared" si="5"/>
        <v>0</v>
      </c>
      <c r="Z54" s="117">
        <f t="shared" si="5"/>
        <v>1.06E-3</v>
      </c>
    </row>
    <row r="55" spans="1:26" x14ac:dyDescent="0.25">
      <c r="F55" s="165" t="s">
        <v>77</v>
      </c>
      <c r="G55" s="165"/>
      <c r="H55" s="165"/>
      <c r="I55" s="165"/>
      <c r="J55" s="109">
        <v>68</v>
      </c>
      <c r="K55" s="109">
        <v>66</v>
      </c>
      <c r="L55" s="109">
        <v>48</v>
      </c>
      <c r="M55" s="109">
        <v>68</v>
      </c>
      <c r="N55" s="109">
        <v>55</v>
      </c>
      <c r="O55" s="109">
        <v>48</v>
      </c>
      <c r="P55" s="109">
        <v>50</v>
      </c>
      <c r="Q55" s="109">
        <v>75.400000000000006</v>
      </c>
      <c r="R55" s="109">
        <v>49</v>
      </c>
      <c r="S55" s="109">
        <v>46</v>
      </c>
      <c r="T55" s="109">
        <v>48</v>
      </c>
      <c r="U55" s="109">
        <v>47</v>
      </c>
      <c r="V55" s="109">
        <v>0</v>
      </c>
      <c r="W55" s="109">
        <v>140</v>
      </c>
      <c r="X55" s="109">
        <v>70</v>
      </c>
      <c r="Y55" s="109">
        <v>30</v>
      </c>
      <c r="Z55" s="109">
        <v>39</v>
      </c>
    </row>
    <row r="56" spans="1:26" ht="15" customHeight="1" x14ac:dyDescent="0.25">
      <c r="F56" s="167" t="s">
        <v>78</v>
      </c>
      <c r="G56" s="167"/>
      <c r="H56" s="167"/>
      <c r="I56" s="167"/>
      <c r="J56" s="112">
        <v>73</v>
      </c>
      <c r="K56" s="112">
        <v>71</v>
      </c>
      <c r="L56" s="112">
        <v>51</v>
      </c>
      <c r="M56" s="112">
        <v>73</v>
      </c>
      <c r="N56" s="112">
        <v>60</v>
      </c>
      <c r="O56" s="112">
        <v>53</v>
      </c>
      <c r="P56" s="112">
        <v>55</v>
      </c>
      <c r="Q56" s="112">
        <v>80.400000000000006</v>
      </c>
      <c r="R56" s="112">
        <v>54</v>
      </c>
      <c r="S56" s="112">
        <v>51</v>
      </c>
      <c r="T56" s="112">
        <v>53</v>
      </c>
      <c r="U56" s="112">
        <v>52</v>
      </c>
      <c r="V56" s="112">
        <v>0</v>
      </c>
      <c r="W56" s="112">
        <v>149</v>
      </c>
      <c r="X56" s="112">
        <v>76</v>
      </c>
      <c r="Y56" s="112">
        <v>36</v>
      </c>
      <c r="Z56" s="112">
        <v>44</v>
      </c>
    </row>
    <row r="57" spans="1:26" x14ac:dyDescent="0.25">
      <c r="F57" s="165" t="s">
        <v>79</v>
      </c>
      <c r="G57" s="165"/>
      <c r="H57" s="165"/>
      <c r="I57" s="165"/>
      <c r="J57" s="48">
        <f>J54*J55</f>
        <v>0</v>
      </c>
      <c r="K57" s="48">
        <f t="shared" ref="K57:Z57" si="6">K54*K55</f>
        <v>5.94E-3</v>
      </c>
      <c r="L57" s="48">
        <f t="shared" si="6"/>
        <v>0</v>
      </c>
      <c r="M57" s="48">
        <f t="shared" si="6"/>
        <v>4.0800000000000003E-3</v>
      </c>
      <c r="N57" s="48">
        <f t="shared" si="6"/>
        <v>4.1250000000000002E-2</v>
      </c>
      <c r="O57" s="48">
        <f t="shared" si="6"/>
        <v>3.2160000000000001E-2</v>
      </c>
      <c r="P57" s="48">
        <f t="shared" si="6"/>
        <v>5.0000000000000001E-3</v>
      </c>
      <c r="Q57" s="48">
        <f t="shared" si="6"/>
        <v>2.639E-2</v>
      </c>
      <c r="R57" s="48">
        <f t="shared" si="6"/>
        <v>0</v>
      </c>
      <c r="S57" s="48">
        <f t="shared" si="6"/>
        <v>0</v>
      </c>
      <c r="T57" s="48">
        <f t="shared" si="6"/>
        <v>0</v>
      </c>
      <c r="U57" s="48">
        <f t="shared" si="6"/>
        <v>0</v>
      </c>
      <c r="V57" s="48">
        <f t="shared" si="6"/>
        <v>0</v>
      </c>
      <c r="W57" s="48">
        <f t="shared" si="6"/>
        <v>0</v>
      </c>
      <c r="X57" s="48">
        <f t="shared" si="6"/>
        <v>5.6000000000000008E-3</v>
      </c>
      <c r="Y57" s="48">
        <f t="shared" si="6"/>
        <v>0</v>
      </c>
      <c r="Z57" s="48">
        <f t="shared" si="6"/>
        <v>4.1340000000000002E-2</v>
      </c>
    </row>
    <row r="58" spans="1:26" x14ac:dyDescent="0.25">
      <c r="F58" s="167" t="s">
        <v>80</v>
      </c>
      <c r="G58" s="167"/>
      <c r="H58" s="167"/>
      <c r="I58" s="167"/>
      <c r="J58" s="52">
        <f>J54*J56</f>
        <v>0</v>
      </c>
      <c r="K58" s="52">
        <f t="shared" ref="K58:Z58" si="7">K54*K56</f>
        <v>6.3900000000000007E-3</v>
      </c>
      <c r="L58" s="52">
        <f t="shared" si="7"/>
        <v>0</v>
      </c>
      <c r="M58" s="52">
        <f t="shared" si="7"/>
        <v>4.3800000000000002E-3</v>
      </c>
      <c r="N58" s="52">
        <f t="shared" si="7"/>
        <v>4.4999999999999998E-2</v>
      </c>
      <c r="O58" s="52">
        <f t="shared" si="7"/>
        <v>3.551E-2</v>
      </c>
      <c r="P58" s="52">
        <f t="shared" si="7"/>
        <v>5.5000000000000005E-3</v>
      </c>
      <c r="Q58" s="52">
        <f t="shared" si="7"/>
        <v>2.8140000000000002E-2</v>
      </c>
      <c r="R58" s="52">
        <f t="shared" si="7"/>
        <v>0</v>
      </c>
      <c r="S58" s="52">
        <f t="shared" si="7"/>
        <v>0</v>
      </c>
      <c r="T58" s="52">
        <f t="shared" si="7"/>
        <v>0</v>
      </c>
      <c r="U58" s="52">
        <f t="shared" si="7"/>
        <v>0</v>
      </c>
      <c r="V58" s="52">
        <f t="shared" si="7"/>
        <v>0</v>
      </c>
      <c r="W58" s="52">
        <f t="shared" si="7"/>
        <v>0</v>
      </c>
      <c r="X58" s="52">
        <f t="shared" si="7"/>
        <v>6.0800000000000003E-3</v>
      </c>
      <c r="Y58" s="52">
        <f t="shared" si="7"/>
        <v>0</v>
      </c>
      <c r="Z58" s="52">
        <f t="shared" si="7"/>
        <v>4.6640000000000001E-2</v>
      </c>
    </row>
    <row r="59" spans="1:26" x14ac:dyDescent="0.25">
      <c r="F59" s="165" t="s">
        <v>328</v>
      </c>
      <c r="G59" s="165"/>
      <c r="H59" s="165"/>
      <c r="I59" s="165"/>
      <c r="J59" s="142">
        <f>J57*$S$16</f>
        <v>0</v>
      </c>
      <c r="K59" s="142">
        <f t="shared" ref="K59:Z59" si="8">K57*$S$16</f>
        <v>3.8016000000000001</v>
      </c>
      <c r="L59" s="142">
        <f t="shared" si="8"/>
        <v>0</v>
      </c>
      <c r="M59" s="142">
        <f t="shared" si="8"/>
        <v>2.6112000000000002</v>
      </c>
      <c r="N59" s="142">
        <f t="shared" si="8"/>
        <v>26.400000000000002</v>
      </c>
      <c r="O59" s="142">
        <f t="shared" si="8"/>
        <v>20.5824</v>
      </c>
      <c r="P59" s="142">
        <f t="shared" si="8"/>
        <v>3.2</v>
      </c>
      <c r="Q59" s="142">
        <f t="shared" si="8"/>
        <v>16.889600000000002</v>
      </c>
      <c r="R59" s="142">
        <f t="shared" si="8"/>
        <v>0</v>
      </c>
      <c r="S59" s="142">
        <f t="shared" si="8"/>
        <v>0</v>
      </c>
      <c r="T59" s="142">
        <f t="shared" si="8"/>
        <v>0</v>
      </c>
      <c r="U59" s="142">
        <f t="shared" si="8"/>
        <v>0</v>
      </c>
      <c r="V59" s="142">
        <f t="shared" si="8"/>
        <v>0</v>
      </c>
      <c r="W59" s="142">
        <f t="shared" si="8"/>
        <v>0</v>
      </c>
      <c r="X59" s="142">
        <f t="shared" si="8"/>
        <v>3.5840000000000005</v>
      </c>
      <c r="Y59" s="142">
        <f t="shared" si="8"/>
        <v>0</v>
      </c>
      <c r="Z59" s="142">
        <f t="shared" si="8"/>
        <v>26.457599999999999</v>
      </c>
    </row>
    <row r="60" spans="1:26" x14ac:dyDescent="0.25">
      <c r="F60" s="167" t="s">
        <v>329</v>
      </c>
      <c r="G60" s="167"/>
      <c r="H60" s="167"/>
      <c r="I60" s="167"/>
      <c r="J60" s="143">
        <f>J58*$S$16</f>
        <v>0</v>
      </c>
      <c r="K60" s="143">
        <f t="shared" ref="K60:Z60" si="9">K58*$S$16</f>
        <v>4.0896000000000008</v>
      </c>
      <c r="L60" s="143">
        <f t="shared" si="9"/>
        <v>0</v>
      </c>
      <c r="M60" s="143">
        <f t="shared" si="9"/>
        <v>2.8032000000000004</v>
      </c>
      <c r="N60" s="143">
        <f t="shared" si="9"/>
        <v>28.799999999999997</v>
      </c>
      <c r="O60" s="143">
        <f t="shared" si="9"/>
        <v>22.726399999999998</v>
      </c>
      <c r="P60" s="143">
        <f t="shared" si="9"/>
        <v>3.5200000000000005</v>
      </c>
      <c r="Q60" s="143">
        <f t="shared" si="9"/>
        <v>18.009600000000002</v>
      </c>
      <c r="R60" s="143">
        <f t="shared" si="9"/>
        <v>0</v>
      </c>
      <c r="S60" s="143">
        <f t="shared" si="9"/>
        <v>0</v>
      </c>
      <c r="T60" s="143">
        <f t="shared" si="9"/>
        <v>0</v>
      </c>
      <c r="U60" s="143">
        <f t="shared" si="9"/>
        <v>0</v>
      </c>
      <c r="V60" s="143">
        <f t="shared" si="9"/>
        <v>0</v>
      </c>
      <c r="W60" s="143">
        <f t="shared" si="9"/>
        <v>0</v>
      </c>
      <c r="X60" s="143">
        <f t="shared" si="9"/>
        <v>3.8912000000000004</v>
      </c>
      <c r="Y60" s="143">
        <f t="shared" si="9"/>
        <v>0</v>
      </c>
      <c r="Z60" s="143">
        <f t="shared" si="9"/>
        <v>29.849600000000002</v>
      </c>
    </row>
    <row r="61" spans="1:26" x14ac:dyDescent="0.25">
      <c r="B61" s="5"/>
    </row>
    <row r="62" spans="1:26" x14ac:dyDescent="0.25">
      <c r="C62" s="9"/>
      <c r="D62" s="9"/>
      <c r="E62" s="9"/>
      <c r="F62" s="9"/>
    </row>
    <row r="63" spans="1:26" x14ac:dyDescent="0.25">
      <c r="C63" s="152" t="s">
        <v>401</v>
      </c>
      <c r="L63" s="168" t="s">
        <v>342</v>
      </c>
      <c r="M63" s="168"/>
    </row>
    <row r="64" spans="1:26" x14ac:dyDescent="0.25">
      <c r="C64" s="144">
        <v>0</v>
      </c>
      <c r="L64" s="168"/>
      <c r="M64" s="168"/>
    </row>
    <row r="65" spans="3:16" x14ac:dyDescent="0.25">
      <c r="C65" s="144">
        <v>0</v>
      </c>
      <c r="L65" s="109" t="s">
        <v>325</v>
      </c>
      <c r="M65" s="116">
        <v>31.8</v>
      </c>
    </row>
    <row r="66" spans="3:16" x14ac:dyDescent="0.25">
      <c r="C66" s="144">
        <v>5.7</v>
      </c>
      <c r="L66" s="109" t="s">
        <v>324</v>
      </c>
      <c r="M66" s="109">
        <v>51.8</v>
      </c>
    </row>
    <row r="67" spans="3:16" x14ac:dyDescent="0.25">
      <c r="C67" s="144">
        <v>0</v>
      </c>
      <c r="L67" s="130" t="s">
        <v>60</v>
      </c>
      <c r="M67" s="109">
        <v>68.900000000000006</v>
      </c>
    </row>
    <row r="68" spans="3:16" x14ac:dyDescent="0.25">
      <c r="C68" s="144">
        <v>0</v>
      </c>
      <c r="K68" s="165" t="s">
        <v>339</v>
      </c>
      <c r="L68" s="165"/>
      <c r="M68" s="129">
        <f>SUM(M65:M67)/3</f>
        <v>50.833333333333336</v>
      </c>
    </row>
    <row r="69" spans="3:16" x14ac:dyDescent="0.25">
      <c r="C69" s="144">
        <v>0</v>
      </c>
    </row>
    <row r="70" spans="3:16" x14ac:dyDescent="0.25">
      <c r="C70" s="144">
        <v>0</v>
      </c>
    </row>
    <row r="71" spans="3:16" x14ac:dyDescent="0.25">
      <c r="C71" s="144">
        <v>0</v>
      </c>
    </row>
    <row r="72" spans="3:16" x14ac:dyDescent="0.25">
      <c r="C72" s="144">
        <v>2.2000000000000002</v>
      </c>
    </row>
    <row r="73" spans="3:16" x14ac:dyDescent="0.25">
      <c r="C73" s="9"/>
      <c r="D73" s="9"/>
      <c r="E73" s="9"/>
      <c r="F73" s="9"/>
    </row>
    <row r="74" spans="3:16" x14ac:dyDescent="0.25">
      <c r="C74" s="144">
        <v>15</v>
      </c>
      <c r="D74" s="9"/>
      <c r="E74" s="9"/>
      <c r="F74" s="9"/>
    </row>
    <row r="75" spans="3:16" x14ac:dyDescent="0.25">
      <c r="C75" s="144">
        <v>8.1</v>
      </c>
      <c r="D75" s="9"/>
      <c r="E75" s="9"/>
      <c r="F75" s="9"/>
    </row>
    <row r="76" spans="3:16" x14ac:dyDescent="0.25">
      <c r="C76" s="144">
        <v>2.2000000000000002</v>
      </c>
      <c r="D76" s="9"/>
      <c r="E76" s="9"/>
      <c r="F76" s="9"/>
    </row>
    <row r="77" spans="3:16" x14ac:dyDescent="0.25">
      <c r="C77" s="144">
        <v>16.7</v>
      </c>
      <c r="D77" s="9"/>
      <c r="E77" s="9"/>
      <c r="F77" s="9"/>
    </row>
    <row r="78" spans="3:16" x14ac:dyDescent="0.25">
      <c r="C78" s="144">
        <v>0</v>
      </c>
      <c r="D78" s="9"/>
      <c r="E78" s="9"/>
      <c r="F78" s="9"/>
      <c r="P78" s="35"/>
    </row>
    <row r="79" spans="3:16" x14ac:dyDescent="0.25">
      <c r="C79" s="9"/>
      <c r="D79" s="9"/>
      <c r="E79" s="9"/>
      <c r="F79" s="9"/>
    </row>
    <row r="80" spans="3:16" x14ac:dyDescent="0.25">
      <c r="C80" s="144">
        <v>0.01</v>
      </c>
      <c r="D80" s="9"/>
      <c r="E80" s="9"/>
      <c r="F80" s="9"/>
    </row>
    <row r="81" spans="3:3" x14ac:dyDescent="0.25">
      <c r="C81" s="144">
        <v>0</v>
      </c>
    </row>
    <row r="82" spans="3:3" x14ac:dyDescent="0.25">
      <c r="C82" s="144">
        <v>2E-3</v>
      </c>
    </row>
    <row r="83" spans="3:3" x14ac:dyDescent="0.25">
      <c r="C83" s="144">
        <v>0</v>
      </c>
    </row>
    <row r="84" spans="3:3" x14ac:dyDescent="0.25">
      <c r="C84" s="144">
        <v>0.01</v>
      </c>
    </row>
    <row r="85" spans="3:3" x14ac:dyDescent="0.25">
      <c r="C85" s="144">
        <v>0</v>
      </c>
    </row>
    <row r="86" spans="3:3" x14ac:dyDescent="0.25">
      <c r="C86" s="144">
        <v>3</v>
      </c>
    </row>
    <row r="87" spans="3:3" x14ac:dyDescent="0.25">
      <c r="C87" s="144">
        <v>0</v>
      </c>
    </row>
    <row r="88" spans="3:3" x14ac:dyDescent="0.25">
      <c r="C88" s="144">
        <v>0</v>
      </c>
    </row>
    <row r="90" spans="3:3" x14ac:dyDescent="0.25">
      <c r="C90" s="144">
        <v>0</v>
      </c>
    </row>
    <row r="91" spans="3:3" x14ac:dyDescent="0.25">
      <c r="C91" s="144">
        <v>0</v>
      </c>
    </row>
    <row r="92" spans="3:3" x14ac:dyDescent="0.25">
      <c r="C92" s="144">
        <v>0</v>
      </c>
    </row>
    <row r="93" spans="3:3" x14ac:dyDescent="0.25">
      <c r="C93" s="144">
        <v>1.04</v>
      </c>
    </row>
  </sheetData>
  <mergeCells count="111">
    <mergeCell ref="Z1:Z2"/>
    <mergeCell ref="A4:B4"/>
    <mergeCell ref="A8:B8"/>
    <mergeCell ref="G3:H3"/>
    <mergeCell ref="Y10:Z10"/>
    <mergeCell ref="V10:X10"/>
    <mergeCell ref="G6:I6"/>
    <mergeCell ref="J6:K6"/>
    <mergeCell ref="J7:K7"/>
    <mergeCell ref="G7:H8"/>
    <mergeCell ref="H10:L10"/>
    <mergeCell ref="N10:Q10"/>
    <mergeCell ref="J8:K8"/>
    <mergeCell ref="J3:Z3"/>
    <mergeCell ref="A6:B6"/>
    <mergeCell ref="G4:H5"/>
    <mergeCell ref="A3:B3"/>
    <mergeCell ref="T1:T2"/>
    <mergeCell ref="U1:U2"/>
    <mergeCell ref="V1:V2"/>
    <mergeCell ref="W1:W2"/>
    <mergeCell ref="X1:X2"/>
    <mergeCell ref="Y1:Y2"/>
    <mergeCell ref="N1:N2"/>
    <mergeCell ref="O1:O2"/>
    <mergeCell ref="P1:P2"/>
    <mergeCell ref="Q1:Q2"/>
    <mergeCell ref="R1:R2"/>
    <mergeCell ref="S1:S2"/>
    <mergeCell ref="G1:I2"/>
    <mergeCell ref="J1:J2"/>
    <mergeCell ref="K1:K2"/>
    <mergeCell ref="L1:L2"/>
    <mergeCell ref="M1:M2"/>
    <mergeCell ref="A1:F1"/>
    <mergeCell ref="A2:F2"/>
    <mergeCell ref="A13:B13"/>
    <mergeCell ref="A11:B11"/>
    <mergeCell ref="A12:F12"/>
    <mergeCell ref="A7:B7"/>
    <mergeCell ref="A5:B5"/>
    <mergeCell ref="A9:B9"/>
    <mergeCell ref="A10:B10"/>
    <mergeCell ref="A26:B26"/>
    <mergeCell ref="A29:B29"/>
    <mergeCell ref="A28:F28"/>
    <mergeCell ref="K11:L11"/>
    <mergeCell ref="H13:L13"/>
    <mergeCell ref="H14:J14"/>
    <mergeCell ref="K14:L14"/>
    <mergeCell ref="A24:B24"/>
    <mergeCell ref="N19:Q19"/>
    <mergeCell ref="N20:O20"/>
    <mergeCell ref="N21:O21"/>
    <mergeCell ref="A15:B15"/>
    <mergeCell ref="A14:B14"/>
    <mergeCell ref="N12:O12"/>
    <mergeCell ref="A19:B19"/>
    <mergeCell ref="A20:B20"/>
    <mergeCell ref="A16:B16"/>
    <mergeCell ref="A17:B17"/>
    <mergeCell ref="A18:F18"/>
    <mergeCell ref="H18:L18"/>
    <mergeCell ref="F56:I56"/>
    <mergeCell ref="L47:L48"/>
    <mergeCell ref="M47:M48"/>
    <mergeCell ref="Y47:Y48"/>
    <mergeCell ref="Z47:Z48"/>
    <mergeCell ref="N11:O11"/>
    <mergeCell ref="H11:J11"/>
    <mergeCell ref="A32:B32"/>
    <mergeCell ref="J47:J48"/>
    <mergeCell ref="K47:K48"/>
    <mergeCell ref="A27:B27"/>
    <mergeCell ref="V29:X29"/>
    <mergeCell ref="A21:B21"/>
    <mergeCell ref="A22:B22"/>
    <mergeCell ref="N47:N48"/>
    <mergeCell ref="O47:O48"/>
    <mergeCell ref="V47:V48"/>
    <mergeCell ref="W47:W48"/>
    <mergeCell ref="X47:X48"/>
    <mergeCell ref="A30:B30"/>
    <mergeCell ref="A31:B31"/>
    <mergeCell ref="A25:B25"/>
    <mergeCell ref="A23:B23"/>
    <mergeCell ref="H19:L25"/>
    <mergeCell ref="A45:C45"/>
    <mergeCell ref="N15:R15"/>
    <mergeCell ref="K68:L68"/>
    <mergeCell ref="N16:Q16"/>
    <mergeCell ref="F59:I59"/>
    <mergeCell ref="F60:I60"/>
    <mergeCell ref="L63:M64"/>
    <mergeCell ref="G9:Z9"/>
    <mergeCell ref="F57:I57"/>
    <mergeCell ref="F58:I58"/>
    <mergeCell ref="P47:P48"/>
    <mergeCell ref="Q47:Q48"/>
    <mergeCell ref="R47:R48"/>
    <mergeCell ref="S47:S48"/>
    <mergeCell ref="T47:T48"/>
    <mergeCell ref="U47:U48"/>
    <mergeCell ref="F47:I48"/>
    <mergeCell ref="F49:I49"/>
    <mergeCell ref="F50:I50"/>
    <mergeCell ref="F51:I51"/>
    <mergeCell ref="F52:I52"/>
    <mergeCell ref="F53:I53"/>
    <mergeCell ref="F54:I54"/>
    <mergeCell ref="F55:I55"/>
  </mergeCells>
  <phoneticPr fontId="7" type="noConversion"/>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autoLine="0" autoPict="0">
                <anchor>
                  <from>
                    <xdr:col>13</xdr:col>
                    <xdr:colOff>0</xdr:colOff>
                    <xdr:row>15</xdr:row>
                    <xdr:rowOff>0</xdr:rowOff>
                  </from>
                  <to>
                    <xdr:col>17</xdr:col>
                    <xdr:colOff>0</xdr:colOff>
                    <xdr:row>15</xdr:row>
                    <xdr:rowOff>190500</xdr:rowOff>
                  </to>
                </anchor>
              </controlPr>
            </control>
          </mc:Choice>
        </mc:AlternateContent>
      </controls>
    </mc:Choice>
  </mc:AlternateContent>
  <tableParts count="1">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18D2-8E70-40AD-8CF3-CB6D722D1609}">
  <dimension ref="A1:BA67"/>
  <sheetViews>
    <sheetView zoomScale="90" zoomScaleNormal="90" workbookViewId="0">
      <selection activeCell="E15" sqref="E15"/>
    </sheetView>
  </sheetViews>
  <sheetFormatPr baseColWidth="10" defaultRowHeight="15" x14ac:dyDescent="0.25"/>
  <cols>
    <col min="1" max="1" width="13" customWidth="1"/>
    <col min="2" max="3" width="12.85546875" customWidth="1"/>
    <col min="4" max="4" width="4.85546875" customWidth="1"/>
    <col min="5" max="5" width="9.140625" customWidth="1"/>
    <col min="6" max="6" width="8.5703125" customWidth="1"/>
    <col min="7" max="7" width="6.7109375" customWidth="1"/>
    <col min="8" max="9" width="7.140625" customWidth="1"/>
    <col min="10" max="10" width="7" customWidth="1"/>
    <col min="11" max="23" width="7.140625" customWidth="1"/>
    <col min="24" max="24" width="7.28515625" customWidth="1"/>
    <col min="25" max="25" width="8.140625" customWidth="1"/>
    <col min="26" max="26" width="6.28515625" customWidth="1"/>
    <col min="27" max="27" width="6.5703125" customWidth="1"/>
    <col min="28" max="28" width="6.28515625" customWidth="1"/>
  </cols>
  <sheetData>
    <row r="1" spans="1:28" x14ac:dyDescent="0.25">
      <c r="A1" s="171" t="s">
        <v>160</v>
      </c>
      <c r="B1" s="171"/>
      <c r="C1" s="171"/>
      <c r="D1" s="171" t="s">
        <v>120</v>
      </c>
      <c r="E1" s="171" t="s">
        <v>121</v>
      </c>
      <c r="F1" s="161" t="s">
        <v>122</v>
      </c>
      <c r="G1" s="161" t="s">
        <v>153</v>
      </c>
      <c r="H1" s="161" t="s">
        <v>0</v>
      </c>
      <c r="I1" s="161" t="s">
        <v>1</v>
      </c>
      <c r="J1" s="161" t="s">
        <v>2</v>
      </c>
      <c r="K1" s="161" t="s">
        <v>3</v>
      </c>
      <c r="L1" s="161" t="s">
        <v>4</v>
      </c>
      <c r="M1" s="161" t="s">
        <v>5</v>
      </c>
      <c r="N1" s="161" t="s">
        <v>6</v>
      </c>
      <c r="O1" s="161" t="s">
        <v>7</v>
      </c>
      <c r="P1" s="161" t="s">
        <v>8</v>
      </c>
      <c r="Q1" s="161" t="s">
        <v>9</v>
      </c>
      <c r="R1" s="161" t="s">
        <v>10</v>
      </c>
      <c r="S1" s="161" t="s">
        <v>11</v>
      </c>
      <c r="T1" s="161" t="s">
        <v>12</v>
      </c>
      <c r="U1" s="161" t="s">
        <v>13</v>
      </c>
      <c r="V1" s="161" t="s">
        <v>14</v>
      </c>
      <c r="W1" s="161" t="s">
        <v>15</v>
      </c>
      <c r="X1" s="161" t="s">
        <v>16</v>
      </c>
      <c r="Y1" s="171" t="s">
        <v>199</v>
      </c>
      <c r="Z1" s="171" t="s">
        <v>194</v>
      </c>
      <c r="AA1" s="171" t="s">
        <v>198</v>
      </c>
      <c r="AB1" s="171" t="s">
        <v>196</v>
      </c>
    </row>
    <row r="2" spans="1:28" x14ac:dyDescent="0.25">
      <c r="A2" s="171"/>
      <c r="B2" s="171"/>
      <c r="C2" s="171"/>
      <c r="D2" s="171"/>
      <c r="E2" s="171"/>
      <c r="F2" s="161"/>
      <c r="G2" s="161"/>
      <c r="H2" s="161"/>
      <c r="I2" s="161"/>
      <c r="J2" s="161"/>
      <c r="K2" s="161"/>
      <c r="L2" s="161"/>
      <c r="M2" s="161"/>
      <c r="N2" s="161"/>
      <c r="O2" s="161"/>
      <c r="P2" s="161"/>
      <c r="Q2" s="161"/>
      <c r="R2" s="161"/>
      <c r="S2" s="161"/>
      <c r="T2" s="161"/>
      <c r="U2" s="161"/>
      <c r="V2" s="161"/>
      <c r="W2" s="161"/>
      <c r="X2" s="161"/>
      <c r="Y2" s="171"/>
      <c r="Z2" s="171"/>
      <c r="AA2" s="171"/>
      <c r="AB2" s="171"/>
    </row>
    <row r="3" spans="1:28" x14ac:dyDescent="0.25">
      <c r="A3" s="209"/>
      <c r="B3" s="209"/>
      <c r="C3" s="209"/>
      <c r="D3" s="18">
        <v>1</v>
      </c>
      <c r="E3" s="18" t="str">
        <f>VLOOKUP($D3,Tabelle2[],2,FALSE)</f>
        <v>(AA) Kein Dünger</v>
      </c>
      <c r="F3" s="18" t="str">
        <f>VLOOKUP($D3,Tabelle2[],3,FALSE)</f>
        <v>Zero</v>
      </c>
      <c r="G3" s="18">
        <f>VLOOKUP($D3,Tabelle2[],4,FALSE)</f>
        <v>0</v>
      </c>
      <c r="H3" s="38">
        <f>VLOOKUP($D3,Tabelle2[],5,FALSE)</f>
        <v>0</v>
      </c>
      <c r="I3" s="38">
        <f>VLOOKUP($D3,Tabelle2[],6,FALSE)</f>
        <v>0</v>
      </c>
      <c r="J3" s="38">
        <f>VLOOKUP($D3,Tabelle2[],7,FALSE)</f>
        <v>0</v>
      </c>
      <c r="K3" s="38">
        <f>VLOOKUP($D3,Tabelle2[],8,FALSE)</f>
        <v>0</v>
      </c>
      <c r="L3" s="38">
        <f>VLOOKUP($D3,Tabelle2[],9,FALSE)</f>
        <v>0</v>
      </c>
      <c r="M3" s="38">
        <f>VLOOKUP($D3,Tabelle2[],10,FALSE)</f>
        <v>0</v>
      </c>
      <c r="N3" s="38">
        <f>VLOOKUP($D3,Tabelle2[],11,FALSE)</f>
        <v>0</v>
      </c>
      <c r="O3" s="38">
        <f>VLOOKUP($D3,Tabelle2[],12,FALSE)</f>
        <v>0</v>
      </c>
      <c r="P3" s="39">
        <f>VLOOKUP($D3,Tabelle2[],13,FALSE)</f>
        <v>0</v>
      </c>
      <c r="Q3" s="39">
        <f>VLOOKUP($D3,Tabelle2[],14,FALSE)</f>
        <v>0</v>
      </c>
      <c r="R3" s="39">
        <f>VLOOKUP($D3,Tabelle2[],15,FALSE)</f>
        <v>0</v>
      </c>
      <c r="S3" s="39">
        <f>VLOOKUP($D3,Tabelle2[],16,FALSE)</f>
        <v>0</v>
      </c>
      <c r="T3" s="39">
        <f>VLOOKUP($D3,Tabelle2[],17,FALSE)</f>
        <v>0</v>
      </c>
      <c r="U3" s="39">
        <f>VLOOKUP($D3,Tabelle2[],18,FALSE)</f>
        <v>0</v>
      </c>
      <c r="V3" s="39">
        <f>VLOOKUP($D3,Tabelle2[],19,FALSE)</f>
        <v>0</v>
      </c>
      <c r="W3" s="39">
        <f>VLOOKUP($D3,Tabelle2[],20,FALSE)</f>
        <v>0</v>
      </c>
      <c r="X3" s="38">
        <f>VLOOKUP($D3,Tabelle2[],21,FALSE)</f>
        <v>0</v>
      </c>
      <c r="Y3" s="18">
        <f>VLOOKUP($D3,Tabelle2[],22,FALSE)</f>
        <v>0</v>
      </c>
      <c r="Z3" s="18">
        <f>VLOOKUP($D3,Tabelle2[],23,FALSE)</f>
        <v>0</v>
      </c>
      <c r="AA3" s="18">
        <f>VLOOKUP($D3,Tabelle2[],24,FALSE)</f>
        <v>0</v>
      </c>
      <c r="AB3" s="18">
        <f>VLOOKUP($D3,Tabelle2[],25,FALSE)</f>
        <v>0</v>
      </c>
    </row>
    <row r="4" spans="1:28" x14ac:dyDescent="0.25">
      <c r="A4" s="209"/>
      <c r="B4" s="209"/>
      <c r="C4" s="209"/>
      <c r="D4" s="37">
        <v>1</v>
      </c>
      <c r="E4" s="37" t="str">
        <f>VLOOKUP($D4,Tabelle2[],2,FALSE)</f>
        <v>(AA) Kein Dünger</v>
      </c>
      <c r="F4" s="37" t="str">
        <f>VLOOKUP($D4,Tabelle2[],3,FALSE)</f>
        <v>Zero</v>
      </c>
      <c r="G4" s="37">
        <f>VLOOKUP($D4,Tabelle2[],4,FALSE)</f>
        <v>0</v>
      </c>
      <c r="H4" s="40">
        <f>VLOOKUP($D4,Tabelle2[],5,FALSE)</f>
        <v>0</v>
      </c>
      <c r="I4" s="40">
        <f>VLOOKUP($D4,Tabelle2[],6,FALSE)</f>
        <v>0</v>
      </c>
      <c r="J4" s="40">
        <f>VLOOKUP($D4,Tabelle2[],7,FALSE)</f>
        <v>0</v>
      </c>
      <c r="K4" s="40">
        <f>VLOOKUP($D4,Tabelle2[],8,FALSE)</f>
        <v>0</v>
      </c>
      <c r="L4" s="40">
        <f>VLOOKUP($D4,Tabelle2[],9,FALSE)</f>
        <v>0</v>
      </c>
      <c r="M4" s="40">
        <f>VLOOKUP($D4,Tabelle2[],10,FALSE)</f>
        <v>0</v>
      </c>
      <c r="N4" s="40">
        <f>VLOOKUP($D4,Tabelle2[],11,FALSE)</f>
        <v>0</v>
      </c>
      <c r="O4" s="40">
        <f>VLOOKUP($D4,Tabelle2[],12,FALSE)</f>
        <v>0</v>
      </c>
      <c r="P4" s="41">
        <f>VLOOKUP($D4,Tabelle2[],13,FALSE)</f>
        <v>0</v>
      </c>
      <c r="Q4" s="41">
        <f>VLOOKUP($D4,Tabelle2[],14,FALSE)</f>
        <v>0</v>
      </c>
      <c r="R4" s="41">
        <f>VLOOKUP($D4,Tabelle2[],15,FALSE)</f>
        <v>0</v>
      </c>
      <c r="S4" s="41">
        <f>VLOOKUP($D4,Tabelle2[],16,FALSE)</f>
        <v>0</v>
      </c>
      <c r="T4" s="41">
        <f>VLOOKUP($D4,Tabelle2[],17,FALSE)</f>
        <v>0</v>
      </c>
      <c r="U4" s="41">
        <f>VLOOKUP($D4,Tabelle2[],18,FALSE)</f>
        <v>0</v>
      </c>
      <c r="V4" s="41">
        <f>VLOOKUP($D4,Tabelle2[],19,FALSE)</f>
        <v>0</v>
      </c>
      <c r="W4" s="41">
        <f>VLOOKUP($D4,Tabelle2[],20,FALSE)</f>
        <v>0</v>
      </c>
      <c r="X4" s="40">
        <f>VLOOKUP($D4,Tabelle2[],21,FALSE)</f>
        <v>0</v>
      </c>
      <c r="Y4" s="37">
        <f>VLOOKUP($D4,Tabelle2[],22,FALSE)</f>
        <v>0</v>
      </c>
      <c r="Z4" s="37">
        <f>VLOOKUP($D4,Tabelle2[],23,FALSE)</f>
        <v>0</v>
      </c>
      <c r="AA4" s="37">
        <f>VLOOKUP($D4,Tabelle2[],24,FALSE)</f>
        <v>0</v>
      </c>
      <c r="AB4" s="37">
        <f>VLOOKUP($D4,Tabelle2[],25,FALSE)</f>
        <v>0</v>
      </c>
    </row>
    <row r="5" spans="1:28" x14ac:dyDescent="0.25">
      <c r="A5" s="209"/>
      <c r="B5" s="209"/>
      <c r="C5" s="209"/>
      <c r="D5" s="18">
        <v>1</v>
      </c>
      <c r="E5" s="18" t="str">
        <f>VLOOKUP($D5,Tabelle2[],2,FALSE)</f>
        <v>(AA) Kein Dünger</v>
      </c>
      <c r="F5" s="18" t="str">
        <f>VLOOKUP($D5,Tabelle2[],3,FALSE)</f>
        <v>Zero</v>
      </c>
      <c r="G5" s="18">
        <f>VLOOKUP($D5,Tabelle2[],4,FALSE)</f>
        <v>0</v>
      </c>
      <c r="H5" s="38">
        <f>VLOOKUP($D5,Tabelle2[],5,FALSE)</f>
        <v>0</v>
      </c>
      <c r="I5" s="38">
        <f>VLOOKUP($D5,Tabelle2[],6,FALSE)</f>
        <v>0</v>
      </c>
      <c r="J5" s="38">
        <f>VLOOKUP($D5,Tabelle2[],7,FALSE)</f>
        <v>0</v>
      </c>
      <c r="K5" s="38">
        <f>VLOOKUP($D5,Tabelle2[],8,FALSE)</f>
        <v>0</v>
      </c>
      <c r="L5" s="38">
        <f>VLOOKUP($D5,Tabelle2[],9,FALSE)</f>
        <v>0</v>
      </c>
      <c r="M5" s="38">
        <f>VLOOKUP($D5,Tabelle2[],10,FALSE)</f>
        <v>0</v>
      </c>
      <c r="N5" s="38">
        <f>VLOOKUP($D5,Tabelle2[],11,FALSE)</f>
        <v>0</v>
      </c>
      <c r="O5" s="38">
        <f>VLOOKUP($D5,Tabelle2[],12,FALSE)</f>
        <v>0</v>
      </c>
      <c r="P5" s="39">
        <f>VLOOKUP($D5,Tabelle2[],13,FALSE)</f>
        <v>0</v>
      </c>
      <c r="Q5" s="39">
        <f>VLOOKUP($D5,Tabelle2[],14,FALSE)</f>
        <v>0</v>
      </c>
      <c r="R5" s="39">
        <f>VLOOKUP($D5,Tabelle2[],15,FALSE)</f>
        <v>0</v>
      </c>
      <c r="S5" s="39">
        <f>VLOOKUP($D5,Tabelle2[],16,FALSE)</f>
        <v>0</v>
      </c>
      <c r="T5" s="39">
        <f>VLOOKUP($D5,Tabelle2[],17,FALSE)</f>
        <v>0</v>
      </c>
      <c r="U5" s="39">
        <f>VLOOKUP($D5,Tabelle2[],18,FALSE)</f>
        <v>0</v>
      </c>
      <c r="V5" s="39">
        <f>VLOOKUP($D5,Tabelle2[],19,FALSE)</f>
        <v>0</v>
      </c>
      <c r="W5" s="39">
        <f>VLOOKUP($D5,Tabelle2[],20,FALSE)</f>
        <v>0</v>
      </c>
      <c r="X5" s="38">
        <f>VLOOKUP($D5,Tabelle2[],21,FALSE)</f>
        <v>0</v>
      </c>
      <c r="Y5" s="18">
        <f>VLOOKUP($D5,Tabelle2[],22,FALSE)</f>
        <v>0</v>
      </c>
      <c r="Z5" s="18">
        <f>VLOOKUP($D5,Tabelle2[],23,FALSE)</f>
        <v>0</v>
      </c>
      <c r="AA5" s="18">
        <f>VLOOKUP($D5,Tabelle2[],24,FALSE)</f>
        <v>0</v>
      </c>
      <c r="AB5" s="18">
        <f>VLOOKUP($D5,Tabelle2[],25,FALSE)</f>
        <v>0</v>
      </c>
    </row>
    <row r="6" spans="1:28" x14ac:dyDescent="0.25">
      <c r="A6" s="209"/>
      <c r="B6" s="209"/>
      <c r="C6" s="209"/>
      <c r="D6" s="37">
        <v>1</v>
      </c>
      <c r="E6" s="37" t="str">
        <f>VLOOKUP($D6,Tabelle2[],2,FALSE)</f>
        <v>(AA) Kein Dünger</v>
      </c>
      <c r="F6" s="37" t="str">
        <f>VLOOKUP($D6,Tabelle2[],3,FALSE)</f>
        <v>Zero</v>
      </c>
      <c r="G6" s="37">
        <f>VLOOKUP($D6,Tabelle2[],4,FALSE)</f>
        <v>0</v>
      </c>
      <c r="H6" s="40">
        <f>VLOOKUP($D6,Tabelle2[],5,FALSE)</f>
        <v>0</v>
      </c>
      <c r="I6" s="40">
        <f>VLOOKUP($D6,Tabelle2[],6,FALSE)</f>
        <v>0</v>
      </c>
      <c r="J6" s="40">
        <f>VLOOKUP($D6,Tabelle2[],7,FALSE)</f>
        <v>0</v>
      </c>
      <c r="K6" s="40">
        <f>VLOOKUP($D6,Tabelle2[],8,FALSE)</f>
        <v>0</v>
      </c>
      <c r="L6" s="40">
        <f>VLOOKUP($D6,Tabelle2[],9,FALSE)</f>
        <v>0</v>
      </c>
      <c r="M6" s="40">
        <f>VLOOKUP($D6,Tabelle2[],10,FALSE)</f>
        <v>0</v>
      </c>
      <c r="N6" s="40">
        <f>VLOOKUP($D6,Tabelle2[],11,FALSE)</f>
        <v>0</v>
      </c>
      <c r="O6" s="40">
        <f>VLOOKUP($D6,Tabelle2[],12,FALSE)</f>
        <v>0</v>
      </c>
      <c r="P6" s="41">
        <f>VLOOKUP($D6,Tabelle2[],13,FALSE)</f>
        <v>0</v>
      </c>
      <c r="Q6" s="41">
        <f>VLOOKUP($D6,Tabelle2[],14,FALSE)</f>
        <v>0</v>
      </c>
      <c r="R6" s="41">
        <f>VLOOKUP($D6,Tabelle2[],15,FALSE)</f>
        <v>0</v>
      </c>
      <c r="S6" s="41">
        <f>VLOOKUP($D6,Tabelle2[],16,FALSE)</f>
        <v>0</v>
      </c>
      <c r="T6" s="41">
        <f>VLOOKUP($D6,Tabelle2[],17,FALSE)</f>
        <v>0</v>
      </c>
      <c r="U6" s="41">
        <f>VLOOKUP($D6,Tabelle2[],18,FALSE)</f>
        <v>0</v>
      </c>
      <c r="V6" s="41">
        <f>VLOOKUP($D6,Tabelle2[],19,FALSE)</f>
        <v>0</v>
      </c>
      <c r="W6" s="41">
        <f>VLOOKUP($D6,Tabelle2[],20,FALSE)</f>
        <v>0</v>
      </c>
      <c r="X6" s="40">
        <f>VLOOKUP($D6,Tabelle2[],21,FALSE)</f>
        <v>0</v>
      </c>
      <c r="Y6" s="37">
        <f>VLOOKUP($D6,Tabelle2[],22,FALSE)</f>
        <v>0</v>
      </c>
      <c r="Z6" s="37">
        <f>VLOOKUP($D6,Tabelle2[],23,FALSE)</f>
        <v>0</v>
      </c>
      <c r="AA6" s="37">
        <f>VLOOKUP($D6,Tabelle2[],24,FALSE)</f>
        <v>0</v>
      </c>
      <c r="AB6" s="37">
        <f>VLOOKUP($D6,Tabelle2[],25,FALSE)</f>
        <v>0</v>
      </c>
    </row>
    <row r="7" spans="1:28" x14ac:dyDescent="0.25">
      <c r="A7" s="209"/>
      <c r="B7" s="209"/>
      <c r="C7" s="209"/>
      <c r="D7" s="18">
        <v>1</v>
      </c>
      <c r="E7" s="18" t="str">
        <f>VLOOKUP($D7,Tabelle2[],2,FALSE)</f>
        <v>(AA) Kein Dünger</v>
      </c>
      <c r="F7" s="18" t="str">
        <f>VLOOKUP($D7,Tabelle2[],3,FALSE)</f>
        <v>Zero</v>
      </c>
      <c r="G7" s="18">
        <f>VLOOKUP($D7,Tabelle2[],4,FALSE)</f>
        <v>0</v>
      </c>
      <c r="H7" s="38">
        <f>VLOOKUP($D7,Tabelle2[],5,FALSE)</f>
        <v>0</v>
      </c>
      <c r="I7" s="38">
        <f>VLOOKUP($D7,Tabelle2[],6,FALSE)</f>
        <v>0</v>
      </c>
      <c r="J7" s="38">
        <f>VLOOKUP($D7,Tabelle2[],7,FALSE)</f>
        <v>0</v>
      </c>
      <c r="K7" s="38">
        <f>VLOOKUP($D7,Tabelle2[],8,FALSE)</f>
        <v>0</v>
      </c>
      <c r="L7" s="38">
        <f>VLOOKUP($D7,Tabelle2[],9,FALSE)</f>
        <v>0</v>
      </c>
      <c r="M7" s="38">
        <f>VLOOKUP($D7,Tabelle2[],10,FALSE)</f>
        <v>0</v>
      </c>
      <c r="N7" s="38">
        <f>VLOOKUP($D7,Tabelle2[],11,FALSE)</f>
        <v>0</v>
      </c>
      <c r="O7" s="38">
        <f>VLOOKUP($D7,Tabelle2[],12,FALSE)</f>
        <v>0</v>
      </c>
      <c r="P7" s="39">
        <f>VLOOKUP($D7,Tabelle2[],13,FALSE)</f>
        <v>0</v>
      </c>
      <c r="Q7" s="39">
        <f>VLOOKUP($D7,Tabelle2[],14,FALSE)</f>
        <v>0</v>
      </c>
      <c r="R7" s="39">
        <f>VLOOKUP($D7,Tabelle2[],15,FALSE)</f>
        <v>0</v>
      </c>
      <c r="S7" s="39">
        <f>VLOOKUP($D7,Tabelle2[],16,FALSE)</f>
        <v>0</v>
      </c>
      <c r="T7" s="39">
        <f>VLOOKUP($D7,Tabelle2[],17,FALSE)</f>
        <v>0</v>
      </c>
      <c r="U7" s="39">
        <f>VLOOKUP($D7,Tabelle2[],18,FALSE)</f>
        <v>0</v>
      </c>
      <c r="V7" s="39">
        <f>VLOOKUP($D7,Tabelle2[],19,FALSE)</f>
        <v>0</v>
      </c>
      <c r="W7" s="39">
        <f>VLOOKUP($D7,Tabelle2[],20,FALSE)</f>
        <v>0</v>
      </c>
      <c r="X7" s="38">
        <f>VLOOKUP($D7,Tabelle2[],21,FALSE)</f>
        <v>0</v>
      </c>
      <c r="Y7" s="18">
        <f>VLOOKUP($D7,Tabelle2[],22,FALSE)</f>
        <v>0</v>
      </c>
      <c r="Z7" s="18">
        <f>VLOOKUP($D7,Tabelle2[],23,FALSE)</f>
        <v>0</v>
      </c>
      <c r="AA7" s="18">
        <f>VLOOKUP($D7,Tabelle2[],24,FALSE)</f>
        <v>0</v>
      </c>
      <c r="AB7" s="18">
        <f>VLOOKUP($D7,Tabelle2[],25,FALSE)</f>
        <v>0</v>
      </c>
    </row>
    <row r="8" spans="1:28" x14ac:dyDescent="0.25">
      <c r="A8" s="209"/>
      <c r="B8" s="209"/>
      <c r="C8" s="209"/>
      <c r="D8" s="37">
        <v>1</v>
      </c>
      <c r="E8" s="37" t="str">
        <f>VLOOKUP($D8,Tabelle2[],2,FALSE)</f>
        <v>(AA) Kein Dünger</v>
      </c>
      <c r="F8" s="37" t="str">
        <f>VLOOKUP($D8,Tabelle2[],3,FALSE)</f>
        <v>Zero</v>
      </c>
      <c r="G8" s="37">
        <f>VLOOKUP($D8,Tabelle2[],4,FALSE)</f>
        <v>0</v>
      </c>
      <c r="H8" s="40">
        <f>VLOOKUP($D8,Tabelle2[],5,FALSE)</f>
        <v>0</v>
      </c>
      <c r="I8" s="40">
        <f>VLOOKUP($D8,Tabelle2[],6,FALSE)</f>
        <v>0</v>
      </c>
      <c r="J8" s="40">
        <f>VLOOKUP($D8,Tabelle2[],7,FALSE)</f>
        <v>0</v>
      </c>
      <c r="K8" s="40">
        <f>VLOOKUP($D8,Tabelle2[],8,FALSE)</f>
        <v>0</v>
      </c>
      <c r="L8" s="40">
        <f>VLOOKUP($D8,Tabelle2[],9,FALSE)</f>
        <v>0</v>
      </c>
      <c r="M8" s="40">
        <f>VLOOKUP($D8,Tabelle2[],10,FALSE)</f>
        <v>0</v>
      </c>
      <c r="N8" s="40">
        <f>VLOOKUP($D8,Tabelle2[],11,FALSE)</f>
        <v>0</v>
      </c>
      <c r="O8" s="40">
        <f>VLOOKUP($D8,Tabelle2[],12,FALSE)</f>
        <v>0</v>
      </c>
      <c r="P8" s="41">
        <f>VLOOKUP($D8,Tabelle2[],13,FALSE)</f>
        <v>0</v>
      </c>
      <c r="Q8" s="41">
        <f>VLOOKUP($D8,Tabelle2[],14,FALSE)</f>
        <v>0</v>
      </c>
      <c r="R8" s="41">
        <f>VLOOKUP($D8,Tabelle2[],15,FALSE)</f>
        <v>0</v>
      </c>
      <c r="S8" s="41">
        <f>VLOOKUP($D8,Tabelle2[],16,FALSE)</f>
        <v>0</v>
      </c>
      <c r="T8" s="41">
        <f>VLOOKUP($D8,Tabelle2[],17,FALSE)</f>
        <v>0</v>
      </c>
      <c r="U8" s="41">
        <f>VLOOKUP($D8,Tabelle2[],18,FALSE)</f>
        <v>0</v>
      </c>
      <c r="V8" s="41">
        <f>VLOOKUP($D8,Tabelle2[],19,FALSE)</f>
        <v>0</v>
      </c>
      <c r="W8" s="41">
        <f>VLOOKUP($D8,Tabelle2[],20,FALSE)</f>
        <v>0</v>
      </c>
      <c r="X8" s="40">
        <f>VLOOKUP($D8,Tabelle2[],21,FALSE)</f>
        <v>0</v>
      </c>
      <c r="Y8" s="37">
        <f>VLOOKUP($D8,Tabelle2[],22,FALSE)</f>
        <v>0</v>
      </c>
      <c r="Z8" s="37">
        <f>VLOOKUP($D8,Tabelle2[],23,FALSE)</f>
        <v>0</v>
      </c>
      <c r="AA8" s="37">
        <f>VLOOKUP($D8,Tabelle2[],24,FALSE)</f>
        <v>0</v>
      </c>
      <c r="AB8" s="37">
        <f>VLOOKUP($D8,Tabelle2[],25,FALSE)</f>
        <v>0</v>
      </c>
    </row>
    <row r="9" spans="1:28" x14ac:dyDescent="0.25">
      <c r="A9" s="209"/>
      <c r="B9" s="209"/>
      <c r="C9" s="209"/>
      <c r="D9" s="18">
        <v>1</v>
      </c>
      <c r="E9" s="18" t="str">
        <f>VLOOKUP($D9,Tabelle2[],2,FALSE)</f>
        <v>(AA) Kein Dünger</v>
      </c>
      <c r="F9" s="18" t="str">
        <f>VLOOKUP($D9,Tabelle2[],3,FALSE)</f>
        <v>Zero</v>
      </c>
      <c r="G9" s="18">
        <f>VLOOKUP($D9,Tabelle2[],4,FALSE)</f>
        <v>0</v>
      </c>
      <c r="H9" s="38">
        <f>VLOOKUP($D9,Tabelle2[],5,FALSE)</f>
        <v>0</v>
      </c>
      <c r="I9" s="38">
        <f>VLOOKUP($D9,Tabelle2[],6,FALSE)</f>
        <v>0</v>
      </c>
      <c r="J9" s="38">
        <f>VLOOKUP($D9,Tabelle2[],7,FALSE)</f>
        <v>0</v>
      </c>
      <c r="K9" s="38">
        <f>VLOOKUP($D9,Tabelle2[],8,FALSE)</f>
        <v>0</v>
      </c>
      <c r="L9" s="38">
        <f>VLOOKUP($D9,Tabelle2[],9,FALSE)</f>
        <v>0</v>
      </c>
      <c r="M9" s="38">
        <f>VLOOKUP($D9,Tabelle2[],10,FALSE)</f>
        <v>0</v>
      </c>
      <c r="N9" s="38">
        <f>VLOOKUP($D9,Tabelle2[],11,FALSE)</f>
        <v>0</v>
      </c>
      <c r="O9" s="38">
        <f>VLOOKUP($D9,Tabelle2[],12,FALSE)</f>
        <v>0</v>
      </c>
      <c r="P9" s="39">
        <f>VLOOKUP($D9,Tabelle2[],13,FALSE)</f>
        <v>0</v>
      </c>
      <c r="Q9" s="39">
        <f>VLOOKUP($D9,Tabelle2[],14,FALSE)</f>
        <v>0</v>
      </c>
      <c r="R9" s="39">
        <f>VLOOKUP($D9,Tabelle2[],15,FALSE)</f>
        <v>0</v>
      </c>
      <c r="S9" s="39">
        <f>VLOOKUP($D9,Tabelle2[],16,FALSE)</f>
        <v>0</v>
      </c>
      <c r="T9" s="39">
        <f>VLOOKUP($D9,Tabelle2[],17,FALSE)</f>
        <v>0</v>
      </c>
      <c r="U9" s="39">
        <f>VLOOKUP($D9,Tabelle2[],18,FALSE)</f>
        <v>0</v>
      </c>
      <c r="V9" s="39">
        <f>VLOOKUP($D9,Tabelle2[],19,FALSE)</f>
        <v>0</v>
      </c>
      <c r="W9" s="39">
        <f>VLOOKUP($D9,Tabelle2[],20,FALSE)</f>
        <v>0</v>
      </c>
      <c r="X9" s="38">
        <f>VLOOKUP($D9,Tabelle2[],21,FALSE)</f>
        <v>0</v>
      </c>
      <c r="Y9" s="18">
        <f>VLOOKUP($D9,Tabelle2[],22,FALSE)</f>
        <v>0</v>
      </c>
      <c r="Z9" s="18">
        <f>VLOOKUP($D9,Tabelle2[],23,FALSE)</f>
        <v>0</v>
      </c>
      <c r="AA9" s="18">
        <f>VLOOKUP($D9,Tabelle2[],24,FALSE)</f>
        <v>0</v>
      </c>
      <c r="AB9" s="18">
        <f>VLOOKUP($D9,Tabelle2[],25,FALSE)</f>
        <v>0</v>
      </c>
    </row>
    <row r="10" spans="1:28" x14ac:dyDescent="0.25">
      <c r="A10" s="209"/>
      <c r="B10" s="209"/>
      <c r="C10" s="209"/>
      <c r="D10" s="37">
        <v>1</v>
      </c>
      <c r="E10" s="37" t="str">
        <f>VLOOKUP($D10,Tabelle2[],2,FALSE)</f>
        <v>(AA) Kein Dünger</v>
      </c>
      <c r="F10" s="37" t="str">
        <f>VLOOKUP($D10,Tabelle2[],3,FALSE)</f>
        <v>Zero</v>
      </c>
      <c r="G10" s="37">
        <f>VLOOKUP($D10,Tabelle2[],4,FALSE)</f>
        <v>0</v>
      </c>
      <c r="H10" s="40">
        <f>VLOOKUP($D10,Tabelle2[],5,FALSE)</f>
        <v>0</v>
      </c>
      <c r="I10" s="40">
        <f>VLOOKUP($D10,Tabelle2[],6,FALSE)</f>
        <v>0</v>
      </c>
      <c r="J10" s="40">
        <f>VLOOKUP($D10,Tabelle2[],7,FALSE)</f>
        <v>0</v>
      </c>
      <c r="K10" s="40">
        <f>VLOOKUP($D10,Tabelle2[],8,FALSE)</f>
        <v>0</v>
      </c>
      <c r="L10" s="40">
        <f>VLOOKUP($D10,Tabelle2[],9,FALSE)</f>
        <v>0</v>
      </c>
      <c r="M10" s="40">
        <f>VLOOKUP($D10,Tabelle2[],10,FALSE)</f>
        <v>0</v>
      </c>
      <c r="N10" s="40">
        <f>VLOOKUP($D10,Tabelle2[],11,FALSE)</f>
        <v>0</v>
      </c>
      <c r="O10" s="40">
        <f>VLOOKUP($D10,Tabelle2[],12,FALSE)</f>
        <v>0</v>
      </c>
      <c r="P10" s="41">
        <f>VLOOKUP($D10,Tabelle2[],13,FALSE)</f>
        <v>0</v>
      </c>
      <c r="Q10" s="41">
        <f>VLOOKUP($D10,Tabelle2[],14,FALSE)</f>
        <v>0</v>
      </c>
      <c r="R10" s="41">
        <f>VLOOKUP($D10,Tabelle2[],15,FALSE)</f>
        <v>0</v>
      </c>
      <c r="S10" s="41">
        <f>VLOOKUP($D10,Tabelle2[],16,FALSE)</f>
        <v>0</v>
      </c>
      <c r="T10" s="41">
        <f>VLOOKUP($D10,Tabelle2[],17,FALSE)</f>
        <v>0</v>
      </c>
      <c r="U10" s="41">
        <f>VLOOKUP($D10,Tabelle2[],18,FALSE)</f>
        <v>0</v>
      </c>
      <c r="V10" s="41">
        <f>VLOOKUP($D10,Tabelle2[],19,FALSE)</f>
        <v>0</v>
      </c>
      <c r="W10" s="41">
        <f>VLOOKUP($D10,Tabelle2[],20,FALSE)</f>
        <v>0</v>
      </c>
      <c r="X10" s="40">
        <f>VLOOKUP($D10,Tabelle2[],21,FALSE)</f>
        <v>0</v>
      </c>
      <c r="Y10" s="37">
        <f>VLOOKUP($D10,Tabelle2[],22,FALSE)</f>
        <v>0</v>
      </c>
      <c r="Z10" s="37">
        <f>VLOOKUP($D10,Tabelle2[],23,FALSE)</f>
        <v>0</v>
      </c>
      <c r="AA10" s="37">
        <f>VLOOKUP($D10,Tabelle2[],24,FALSE)</f>
        <v>0</v>
      </c>
      <c r="AB10" s="37">
        <f>VLOOKUP($D10,Tabelle2[],25,FALSE)</f>
        <v>0</v>
      </c>
    </row>
    <row r="11" spans="1:28" x14ac:dyDescent="0.25">
      <c r="A11" s="209"/>
      <c r="B11" s="209"/>
      <c r="C11" s="209"/>
      <c r="D11" s="18">
        <v>1</v>
      </c>
      <c r="E11" s="18" t="str">
        <f>VLOOKUP($D11,Tabelle2[],2,FALSE)</f>
        <v>(AA) Kein Dünger</v>
      </c>
      <c r="F11" s="18" t="str">
        <f>VLOOKUP($D11,Tabelle2[],3,FALSE)</f>
        <v>Zero</v>
      </c>
      <c r="G11" s="18">
        <f>VLOOKUP($D11,Tabelle2[],4,FALSE)</f>
        <v>0</v>
      </c>
      <c r="H11" s="38">
        <f>VLOOKUP($D11,Tabelle2[],5,FALSE)</f>
        <v>0</v>
      </c>
      <c r="I11" s="38">
        <f>VLOOKUP($D11,Tabelle2[],6,FALSE)</f>
        <v>0</v>
      </c>
      <c r="J11" s="38">
        <f>VLOOKUP($D11,Tabelle2[],7,FALSE)</f>
        <v>0</v>
      </c>
      <c r="K11" s="38">
        <f>VLOOKUP($D11,Tabelle2[],8,FALSE)</f>
        <v>0</v>
      </c>
      <c r="L11" s="38">
        <f>VLOOKUP($D11,Tabelle2[],9,FALSE)</f>
        <v>0</v>
      </c>
      <c r="M11" s="38">
        <f>VLOOKUP($D11,Tabelle2[],10,FALSE)</f>
        <v>0</v>
      </c>
      <c r="N11" s="38">
        <f>VLOOKUP($D11,Tabelle2[],11,FALSE)</f>
        <v>0</v>
      </c>
      <c r="O11" s="38">
        <f>VLOOKUP($D11,Tabelle2[],12,FALSE)</f>
        <v>0</v>
      </c>
      <c r="P11" s="39">
        <f>VLOOKUP($D11,Tabelle2[],13,FALSE)</f>
        <v>0</v>
      </c>
      <c r="Q11" s="39">
        <f>VLOOKUP($D11,Tabelle2[],14,FALSE)</f>
        <v>0</v>
      </c>
      <c r="R11" s="39">
        <f>VLOOKUP($D11,Tabelle2[],15,FALSE)</f>
        <v>0</v>
      </c>
      <c r="S11" s="39">
        <f>VLOOKUP($D11,Tabelle2[],16,FALSE)</f>
        <v>0</v>
      </c>
      <c r="T11" s="39">
        <f>VLOOKUP($D11,Tabelle2[],17,FALSE)</f>
        <v>0</v>
      </c>
      <c r="U11" s="39">
        <f>VLOOKUP($D11,Tabelle2[],18,FALSE)</f>
        <v>0</v>
      </c>
      <c r="V11" s="39">
        <f>VLOOKUP($D11,Tabelle2[],19,FALSE)</f>
        <v>0</v>
      </c>
      <c r="W11" s="39">
        <f>VLOOKUP($D11,Tabelle2[],20,FALSE)</f>
        <v>0</v>
      </c>
      <c r="X11" s="38">
        <f>VLOOKUP($D11,Tabelle2[],21,FALSE)</f>
        <v>0</v>
      </c>
      <c r="Y11" s="18">
        <f>VLOOKUP($D11,Tabelle2[],22,FALSE)</f>
        <v>0</v>
      </c>
      <c r="Z11" s="18">
        <f>VLOOKUP($D11,Tabelle2[],23,FALSE)</f>
        <v>0</v>
      </c>
      <c r="AA11" s="18">
        <f>VLOOKUP($D11,Tabelle2[],24,FALSE)</f>
        <v>0</v>
      </c>
      <c r="AB11" s="18">
        <f>VLOOKUP($D11,Tabelle2[],25,FALSE)</f>
        <v>0</v>
      </c>
    </row>
    <row r="12" spans="1:28" x14ac:dyDescent="0.25">
      <c r="A12" s="170"/>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row>
    <row r="13" spans="1:28" x14ac:dyDescent="0.25">
      <c r="A13" s="161" t="s">
        <v>123</v>
      </c>
      <c r="B13" s="161"/>
      <c r="C13" s="161"/>
      <c r="D13" s="161"/>
      <c r="E13" s="171" t="s">
        <v>155</v>
      </c>
      <c r="F13" s="161" t="s">
        <v>0</v>
      </c>
      <c r="G13" s="161" t="s">
        <v>1</v>
      </c>
      <c r="H13" s="161" t="s">
        <v>2</v>
      </c>
      <c r="I13" s="161" t="s">
        <v>3</v>
      </c>
      <c r="J13" s="161" t="s">
        <v>4</v>
      </c>
      <c r="K13" s="161" t="s">
        <v>5</v>
      </c>
      <c r="L13" s="161" t="s">
        <v>6</v>
      </c>
      <c r="M13" s="161" t="s">
        <v>7</v>
      </c>
      <c r="N13" s="161" t="s">
        <v>8</v>
      </c>
      <c r="O13" s="161" t="s">
        <v>9</v>
      </c>
      <c r="P13" s="161" t="s">
        <v>10</v>
      </c>
      <c r="Q13" s="161" t="s">
        <v>11</v>
      </c>
      <c r="R13" s="161" t="s">
        <v>12</v>
      </c>
      <c r="S13" s="161" t="s">
        <v>13</v>
      </c>
      <c r="T13" s="161" t="s">
        <v>14</v>
      </c>
      <c r="U13" s="161" t="s">
        <v>15</v>
      </c>
      <c r="V13" s="161" t="s">
        <v>16</v>
      </c>
      <c r="W13" s="161" t="s">
        <v>168</v>
      </c>
      <c r="X13" s="161"/>
      <c r="Y13" s="161"/>
      <c r="Z13" s="161"/>
      <c r="AA13" s="161"/>
    </row>
    <row r="14" spans="1:28" x14ac:dyDescent="0.25">
      <c r="A14" s="161"/>
      <c r="B14" s="161"/>
      <c r="C14" s="161"/>
      <c r="D14" s="161"/>
      <c r="E14" s="171"/>
      <c r="F14" s="161"/>
      <c r="G14" s="161"/>
      <c r="H14" s="161"/>
      <c r="I14" s="161"/>
      <c r="J14" s="161"/>
      <c r="K14" s="161"/>
      <c r="L14" s="161"/>
      <c r="M14" s="161"/>
      <c r="N14" s="161"/>
      <c r="O14" s="161"/>
      <c r="P14" s="161"/>
      <c r="Q14" s="161"/>
      <c r="R14" s="161"/>
      <c r="S14" s="161"/>
      <c r="T14" s="161"/>
      <c r="U14" s="161"/>
      <c r="V14" s="161"/>
      <c r="W14" s="161" t="s">
        <v>156</v>
      </c>
      <c r="X14" s="161"/>
      <c r="Y14" s="15" t="s">
        <v>157</v>
      </c>
      <c r="Z14" s="15" t="s">
        <v>158</v>
      </c>
      <c r="AA14" s="15" t="s">
        <v>159</v>
      </c>
    </row>
    <row r="15" spans="1:28" x14ac:dyDescent="0.25">
      <c r="A15" s="197" t="str">
        <f t="shared" ref="A15:A23" si="0">E3</f>
        <v>(AA) Kein Dünger</v>
      </c>
      <c r="B15" s="197"/>
      <c r="C15" s="197"/>
      <c r="D15" s="197"/>
      <c r="E15" s="16">
        <v>0</v>
      </c>
      <c r="F15" s="37">
        <f t="shared" ref="F15:V15" si="1">($E$15*$G$3)*H3</f>
        <v>0</v>
      </c>
      <c r="G15" s="37">
        <f t="shared" si="1"/>
        <v>0</v>
      </c>
      <c r="H15" s="37">
        <f>($E$15*$G$3)*J3</f>
        <v>0</v>
      </c>
      <c r="I15" s="37">
        <f t="shared" si="1"/>
        <v>0</v>
      </c>
      <c r="J15" s="37">
        <f t="shared" si="1"/>
        <v>0</v>
      </c>
      <c r="K15" s="37">
        <f t="shared" si="1"/>
        <v>0</v>
      </c>
      <c r="L15" s="37">
        <f t="shared" si="1"/>
        <v>0</v>
      </c>
      <c r="M15" s="37">
        <f t="shared" si="1"/>
        <v>0</v>
      </c>
      <c r="N15" s="37">
        <f t="shared" si="1"/>
        <v>0</v>
      </c>
      <c r="O15" s="37">
        <f t="shared" si="1"/>
        <v>0</v>
      </c>
      <c r="P15" s="37">
        <f t="shared" si="1"/>
        <v>0</v>
      </c>
      <c r="Q15" s="37">
        <f t="shared" si="1"/>
        <v>0</v>
      </c>
      <c r="R15" s="37">
        <f t="shared" si="1"/>
        <v>0</v>
      </c>
      <c r="S15" s="37">
        <f t="shared" si="1"/>
        <v>0</v>
      </c>
      <c r="T15" s="37">
        <f t="shared" si="1"/>
        <v>0</v>
      </c>
      <c r="U15" s="37">
        <f t="shared" si="1"/>
        <v>0</v>
      </c>
      <c r="V15" s="37">
        <f t="shared" si="1"/>
        <v>0</v>
      </c>
      <c r="W15" s="200" t="s">
        <v>175</v>
      </c>
      <c r="X15" s="201"/>
      <c r="Y15" s="19" t="str">
        <f>"1 zu "&amp;ROUND(IFERROR(I30/J30,0),1)</f>
        <v>1 zu 0,1</v>
      </c>
      <c r="Z15" s="42">
        <v>0.8</v>
      </c>
      <c r="AA15" s="42">
        <v>2</v>
      </c>
    </row>
    <row r="16" spans="1:28" x14ac:dyDescent="0.25">
      <c r="A16" s="165" t="str">
        <f t="shared" si="0"/>
        <v>(AA) Kein Dünger</v>
      </c>
      <c r="B16" s="165"/>
      <c r="C16" s="165"/>
      <c r="D16" s="165"/>
      <c r="E16" s="16">
        <v>0</v>
      </c>
      <c r="F16" s="18">
        <f>($E$16*$G$4)*H4</f>
        <v>0</v>
      </c>
      <c r="G16" s="18">
        <f t="shared" ref="G16:V16" si="2">($E$16*$G$4)*I4</f>
        <v>0</v>
      </c>
      <c r="H16" s="18">
        <f t="shared" si="2"/>
        <v>0</v>
      </c>
      <c r="I16" s="18">
        <f t="shared" si="2"/>
        <v>0</v>
      </c>
      <c r="J16" s="18">
        <f t="shared" si="2"/>
        <v>0</v>
      </c>
      <c r="K16" s="18">
        <f t="shared" si="2"/>
        <v>0</v>
      </c>
      <c r="L16" s="18">
        <f t="shared" si="2"/>
        <v>0</v>
      </c>
      <c r="M16" s="18">
        <f t="shared" si="2"/>
        <v>0</v>
      </c>
      <c r="N16" s="18">
        <f t="shared" si="2"/>
        <v>0</v>
      </c>
      <c r="O16" s="18">
        <f t="shared" si="2"/>
        <v>0</v>
      </c>
      <c r="P16" s="18">
        <f t="shared" si="2"/>
        <v>0</v>
      </c>
      <c r="Q16" s="18">
        <f t="shared" si="2"/>
        <v>0</v>
      </c>
      <c r="R16" s="18">
        <f t="shared" si="2"/>
        <v>0</v>
      </c>
      <c r="S16" s="18">
        <f t="shared" si="2"/>
        <v>0</v>
      </c>
      <c r="T16" s="18">
        <f t="shared" si="2"/>
        <v>0</v>
      </c>
      <c r="U16" s="18">
        <f t="shared" si="2"/>
        <v>0</v>
      </c>
      <c r="V16" s="18">
        <f t="shared" si="2"/>
        <v>0</v>
      </c>
      <c r="W16" s="202" t="s">
        <v>166</v>
      </c>
      <c r="X16" s="203"/>
      <c r="Y16" s="19" t="str">
        <f>"1 zu "&amp;ROUND(IFERROR(J30/K30,0),1)</f>
        <v>1 zu 1,9</v>
      </c>
      <c r="Z16" s="43">
        <v>4</v>
      </c>
      <c r="AA16" s="43">
        <v>2</v>
      </c>
    </row>
    <row r="17" spans="1:37" x14ac:dyDescent="0.25">
      <c r="A17" s="197" t="str">
        <f t="shared" si="0"/>
        <v>(AA) Kein Dünger</v>
      </c>
      <c r="B17" s="197"/>
      <c r="C17" s="197"/>
      <c r="D17" s="197"/>
      <c r="E17" s="16">
        <v>0</v>
      </c>
      <c r="F17" s="37">
        <f>($E$17*$G$5)*H5</f>
        <v>0</v>
      </c>
      <c r="G17" s="37">
        <f t="shared" ref="G17:V17" si="3">($E$17*$G$5)*I5</f>
        <v>0</v>
      </c>
      <c r="H17" s="37">
        <f t="shared" si="3"/>
        <v>0</v>
      </c>
      <c r="I17" s="37">
        <f t="shared" si="3"/>
        <v>0</v>
      </c>
      <c r="J17" s="37">
        <f t="shared" si="3"/>
        <v>0</v>
      </c>
      <c r="K17" s="37">
        <f t="shared" si="3"/>
        <v>0</v>
      </c>
      <c r="L17" s="37">
        <f t="shared" si="3"/>
        <v>0</v>
      </c>
      <c r="M17" s="37">
        <f t="shared" si="3"/>
        <v>0</v>
      </c>
      <c r="N17" s="37">
        <f t="shared" si="3"/>
        <v>0</v>
      </c>
      <c r="O17" s="37">
        <f t="shared" si="3"/>
        <v>0</v>
      </c>
      <c r="P17" s="37">
        <f t="shared" si="3"/>
        <v>0</v>
      </c>
      <c r="Q17" s="37">
        <f t="shared" si="3"/>
        <v>0</v>
      </c>
      <c r="R17" s="37">
        <f t="shared" si="3"/>
        <v>0</v>
      </c>
      <c r="S17" s="37">
        <f t="shared" si="3"/>
        <v>0</v>
      </c>
      <c r="T17" s="37">
        <f t="shared" si="3"/>
        <v>0</v>
      </c>
      <c r="U17" s="37">
        <f t="shared" si="3"/>
        <v>0</v>
      </c>
      <c r="V17" s="37">
        <f t="shared" si="3"/>
        <v>0</v>
      </c>
      <c r="W17" s="192" t="s">
        <v>167</v>
      </c>
      <c r="X17" s="192"/>
      <c r="Y17" s="19" t="str">
        <f>"1 zu "&amp;ROUND(IFERROR(K30/L30,0),1)</f>
        <v>1 zu 3,7</v>
      </c>
      <c r="Z17" s="42">
        <v>1.5</v>
      </c>
      <c r="AA17" s="42" t="s">
        <v>176</v>
      </c>
    </row>
    <row r="18" spans="1:37" x14ac:dyDescent="0.25">
      <c r="A18" s="165" t="str">
        <f t="shared" si="0"/>
        <v>(AA) Kein Dünger</v>
      </c>
      <c r="B18" s="165"/>
      <c r="C18" s="165"/>
      <c r="D18" s="165"/>
      <c r="E18" s="21">
        <v>0</v>
      </c>
      <c r="F18" s="18">
        <f>($E$18*$G$6)*H6</f>
        <v>0</v>
      </c>
      <c r="G18" s="18">
        <f t="shared" ref="G18:V18" si="4">($E$18*$G$6)*I6</f>
        <v>0</v>
      </c>
      <c r="H18" s="18">
        <f t="shared" si="4"/>
        <v>0</v>
      </c>
      <c r="I18" s="18">
        <f t="shared" si="4"/>
        <v>0</v>
      </c>
      <c r="J18" s="18">
        <f t="shared" si="4"/>
        <v>0</v>
      </c>
      <c r="K18" s="18">
        <f t="shared" si="4"/>
        <v>0</v>
      </c>
      <c r="L18" s="18">
        <f t="shared" si="4"/>
        <v>0</v>
      </c>
      <c r="M18" s="18">
        <f t="shared" si="4"/>
        <v>0</v>
      </c>
      <c r="N18" s="18">
        <f t="shared" si="4"/>
        <v>0</v>
      </c>
      <c r="O18" s="18">
        <f t="shared" si="4"/>
        <v>0</v>
      </c>
      <c r="P18" s="18">
        <f t="shared" si="4"/>
        <v>0</v>
      </c>
      <c r="Q18" s="18">
        <f t="shared" si="4"/>
        <v>0</v>
      </c>
      <c r="R18" s="18">
        <f t="shared" si="4"/>
        <v>0</v>
      </c>
      <c r="S18" s="18">
        <f t="shared" si="4"/>
        <v>0</v>
      </c>
      <c r="T18" s="18">
        <f t="shared" si="4"/>
        <v>0</v>
      </c>
      <c r="U18" s="18">
        <f t="shared" si="4"/>
        <v>0</v>
      </c>
      <c r="V18" s="18">
        <f t="shared" si="4"/>
        <v>0</v>
      </c>
      <c r="W18" s="194" t="s">
        <v>174</v>
      </c>
      <c r="X18" s="194"/>
      <c r="Y18" s="65" t="str">
        <f>"1 zu "&amp;ROUND(IFERROR(H30/M30,0),1)</f>
        <v>1 zu 0</v>
      </c>
      <c r="Z18" s="43">
        <v>0.8</v>
      </c>
      <c r="AA18" s="43">
        <v>2.5</v>
      </c>
    </row>
    <row r="19" spans="1:37" x14ac:dyDescent="0.25">
      <c r="A19" s="197" t="str">
        <f t="shared" si="0"/>
        <v>(AA) Kein Dünger</v>
      </c>
      <c r="B19" s="197"/>
      <c r="C19" s="197"/>
      <c r="D19" s="197"/>
      <c r="E19" s="21">
        <v>0</v>
      </c>
      <c r="F19" s="37">
        <f>($E$19*$G$7)*H7</f>
        <v>0</v>
      </c>
      <c r="G19" s="37">
        <f t="shared" ref="G19:V19" si="5">($E$19*$G$7)*I7</f>
        <v>0</v>
      </c>
      <c r="H19" s="37">
        <f t="shared" si="5"/>
        <v>0</v>
      </c>
      <c r="I19" s="37">
        <f t="shared" si="5"/>
        <v>0</v>
      </c>
      <c r="J19" s="37">
        <f t="shared" si="5"/>
        <v>0</v>
      </c>
      <c r="K19" s="37">
        <f t="shared" si="5"/>
        <v>0</v>
      </c>
      <c r="L19" s="37">
        <f t="shared" si="5"/>
        <v>0</v>
      </c>
      <c r="M19" s="37">
        <f t="shared" si="5"/>
        <v>0</v>
      </c>
      <c r="N19" s="37">
        <f t="shared" si="5"/>
        <v>0</v>
      </c>
      <c r="O19" s="37">
        <f t="shared" si="5"/>
        <v>0</v>
      </c>
      <c r="P19" s="37">
        <f t="shared" si="5"/>
        <v>0</v>
      </c>
      <c r="Q19" s="37">
        <f t="shared" si="5"/>
        <v>0</v>
      </c>
      <c r="R19" s="37">
        <f t="shared" si="5"/>
        <v>0</v>
      </c>
      <c r="S19" s="37">
        <f t="shared" si="5"/>
        <v>0</v>
      </c>
      <c r="T19" s="37">
        <f t="shared" si="5"/>
        <v>0</v>
      </c>
      <c r="U19" s="37">
        <f t="shared" si="5"/>
        <v>0</v>
      </c>
      <c r="V19" s="37">
        <f t="shared" si="5"/>
        <v>0</v>
      </c>
      <c r="W19" s="192" t="s">
        <v>273</v>
      </c>
      <c r="X19" s="192"/>
      <c r="Y19" s="19" t="str">
        <f>"1 zu "&amp;ROUND(IFERROR(F30/H30,0),1)</f>
        <v>1 zu 0</v>
      </c>
      <c r="Z19" s="200" t="s">
        <v>266</v>
      </c>
      <c r="AA19" s="201"/>
    </row>
    <row r="20" spans="1:37" x14ac:dyDescent="0.25">
      <c r="A20" s="165" t="str">
        <f t="shared" si="0"/>
        <v>(AA) Kein Dünger</v>
      </c>
      <c r="B20" s="165"/>
      <c r="C20" s="165"/>
      <c r="D20" s="165"/>
      <c r="E20" s="21">
        <v>0</v>
      </c>
      <c r="F20" s="18">
        <f>($E$20*$G$8)*H8</f>
        <v>0</v>
      </c>
      <c r="G20" s="18">
        <f t="shared" ref="G20:V20" si="6">($E$20*$G$8)*I8</f>
        <v>0</v>
      </c>
      <c r="H20" s="18">
        <f t="shared" si="6"/>
        <v>0</v>
      </c>
      <c r="I20" s="18">
        <f t="shared" si="6"/>
        <v>0</v>
      </c>
      <c r="J20" s="18">
        <f t="shared" si="6"/>
        <v>0</v>
      </c>
      <c r="K20" s="18">
        <f t="shared" si="6"/>
        <v>0</v>
      </c>
      <c r="L20" s="18">
        <f t="shared" si="6"/>
        <v>0</v>
      </c>
      <c r="M20" s="18">
        <f t="shared" si="6"/>
        <v>0</v>
      </c>
      <c r="N20" s="18">
        <f t="shared" si="6"/>
        <v>0</v>
      </c>
      <c r="O20" s="18">
        <f t="shared" si="6"/>
        <v>0</v>
      </c>
      <c r="P20" s="18">
        <f t="shared" si="6"/>
        <v>0</v>
      </c>
      <c r="Q20" s="18">
        <f t="shared" si="6"/>
        <v>0</v>
      </c>
      <c r="R20" s="18">
        <f t="shared" si="6"/>
        <v>0</v>
      </c>
      <c r="S20" s="18">
        <f t="shared" si="6"/>
        <v>0</v>
      </c>
      <c r="T20" s="18">
        <f t="shared" si="6"/>
        <v>0</v>
      </c>
      <c r="U20" s="18">
        <f t="shared" si="6"/>
        <v>0</v>
      </c>
      <c r="V20" s="18">
        <f t="shared" si="6"/>
        <v>0</v>
      </c>
      <c r="W20" s="195" t="s">
        <v>267</v>
      </c>
      <c r="X20" s="196"/>
      <c r="Y20" s="19" t="str">
        <f>"1 zu "&amp;ROUND(IFERROR(N30/R30,0),1)</f>
        <v>1 zu 1</v>
      </c>
      <c r="Z20" s="86"/>
      <c r="AA20" s="86"/>
    </row>
    <row r="21" spans="1:37" x14ac:dyDescent="0.25">
      <c r="A21" s="197" t="str">
        <f t="shared" si="0"/>
        <v>(AA) Kein Dünger</v>
      </c>
      <c r="B21" s="197"/>
      <c r="C21" s="197"/>
      <c r="D21" s="197"/>
      <c r="E21" s="21">
        <v>0</v>
      </c>
      <c r="F21" s="37">
        <f>($E$21*$G$9)*H9</f>
        <v>0</v>
      </c>
      <c r="G21" s="37">
        <f t="shared" ref="G21:V21" si="7">($E$21*$G$9)*I9</f>
        <v>0</v>
      </c>
      <c r="H21" s="37">
        <f t="shared" si="7"/>
        <v>0</v>
      </c>
      <c r="I21" s="37">
        <f t="shared" si="7"/>
        <v>0</v>
      </c>
      <c r="J21" s="37">
        <f t="shared" si="7"/>
        <v>0</v>
      </c>
      <c r="K21" s="37">
        <f t="shared" si="7"/>
        <v>0</v>
      </c>
      <c r="L21" s="37">
        <f t="shared" si="7"/>
        <v>0</v>
      </c>
      <c r="M21" s="37">
        <f t="shared" si="7"/>
        <v>0</v>
      </c>
      <c r="N21" s="37">
        <f t="shared" si="7"/>
        <v>0</v>
      </c>
      <c r="O21" s="37">
        <f t="shared" si="7"/>
        <v>0</v>
      </c>
      <c r="P21" s="37">
        <f t="shared" si="7"/>
        <v>0</v>
      </c>
      <c r="Q21" s="37">
        <f t="shared" si="7"/>
        <v>0</v>
      </c>
      <c r="R21" s="37">
        <f t="shared" si="7"/>
        <v>0</v>
      </c>
      <c r="S21" s="37">
        <f t="shared" si="7"/>
        <v>0</v>
      </c>
      <c r="T21" s="37">
        <f t="shared" si="7"/>
        <v>0</v>
      </c>
      <c r="U21" s="37">
        <f t="shared" si="7"/>
        <v>0</v>
      </c>
      <c r="V21" s="37">
        <f t="shared" si="7"/>
        <v>0</v>
      </c>
      <c r="W21" s="192" t="s">
        <v>263</v>
      </c>
      <c r="X21" s="192"/>
      <c r="Y21" s="19" t="str">
        <f>"1 zu "&amp;ROUND(IFERROR(N30/O30,0),1)</f>
        <v>1 zu 0</v>
      </c>
      <c r="Z21" s="85"/>
      <c r="AA21" s="85"/>
    </row>
    <row r="22" spans="1:37" x14ac:dyDescent="0.25">
      <c r="A22" s="165" t="str">
        <f t="shared" si="0"/>
        <v>(AA) Kein Dünger</v>
      </c>
      <c r="B22" s="165"/>
      <c r="C22" s="165"/>
      <c r="D22" s="165"/>
      <c r="E22" s="21">
        <v>0</v>
      </c>
      <c r="F22" s="18">
        <f>($E$22*$G$10)*H10</f>
        <v>0</v>
      </c>
      <c r="G22" s="18">
        <f t="shared" ref="G22:V22" si="8">($E$22*$G$10)*I10</f>
        <v>0</v>
      </c>
      <c r="H22" s="18">
        <f t="shared" si="8"/>
        <v>0</v>
      </c>
      <c r="I22" s="18">
        <f t="shared" si="8"/>
        <v>0</v>
      </c>
      <c r="J22" s="18">
        <f t="shared" si="8"/>
        <v>0</v>
      </c>
      <c r="K22" s="18">
        <f t="shared" si="8"/>
        <v>0</v>
      </c>
      <c r="L22" s="18">
        <f t="shared" si="8"/>
        <v>0</v>
      </c>
      <c r="M22" s="18">
        <f t="shared" si="8"/>
        <v>0</v>
      </c>
      <c r="N22" s="18">
        <f t="shared" si="8"/>
        <v>0</v>
      </c>
      <c r="O22" s="18">
        <f t="shared" si="8"/>
        <v>0</v>
      </c>
      <c r="P22" s="18">
        <f t="shared" si="8"/>
        <v>0</v>
      </c>
      <c r="Q22" s="18">
        <f t="shared" si="8"/>
        <v>0</v>
      </c>
      <c r="R22" s="18">
        <f t="shared" si="8"/>
        <v>0</v>
      </c>
      <c r="S22" s="18">
        <f t="shared" si="8"/>
        <v>0</v>
      </c>
      <c r="T22" s="18">
        <f t="shared" si="8"/>
        <v>0</v>
      </c>
      <c r="U22" s="18">
        <f t="shared" si="8"/>
        <v>0</v>
      </c>
      <c r="V22" s="18">
        <f t="shared" si="8"/>
        <v>0</v>
      </c>
      <c r="W22" s="194" t="s">
        <v>264</v>
      </c>
      <c r="X22" s="194"/>
      <c r="Y22" s="19" t="str">
        <f>"1 zu "&amp;ROUND(IFERROR(N30/P30,0),1)</f>
        <v>1 zu 5</v>
      </c>
      <c r="Z22" s="86"/>
      <c r="AA22" s="86"/>
    </row>
    <row r="23" spans="1:37" x14ac:dyDescent="0.25">
      <c r="A23" s="197" t="str">
        <f t="shared" si="0"/>
        <v>(AA) Kein Dünger</v>
      </c>
      <c r="B23" s="197"/>
      <c r="C23" s="197"/>
      <c r="D23" s="197"/>
      <c r="E23" s="21">
        <v>0</v>
      </c>
      <c r="F23" s="37">
        <f>($E$23*$G$11)*H11</f>
        <v>0</v>
      </c>
      <c r="G23" s="37">
        <f t="shared" ref="G23:V23" si="9">($E$23*$G$11)*I11</f>
        <v>0</v>
      </c>
      <c r="H23" s="37">
        <f t="shared" si="9"/>
        <v>0</v>
      </c>
      <c r="I23" s="37">
        <f t="shared" si="9"/>
        <v>0</v>
      </c>
      <c r="J23" s="37">
        <f t="shared" si="9"/>
        <v>0</v>
      </c>
      <c r="K23" s="37">
        <f t="shared" si="9"/>
        <v>0</v>
      </c>
      <c r="L23" s="37">
        <f t="shared" si="9"/>
        <v>0</v>
      </c>
      <c r="M23" s="37">
        <f t="shared" si="9"/>
        <v>0</v>
      </c>
      <c r="N23" s="37">
        <f t="shared" si="9"/>
        <v>0</v>
      </c>
      <c r="O23" s="37">
        <f t="shared" si="9"/>
        <v>0</v>
      </c>
      <c r="P23" s="37">
        <f t="shared" si="9"/>
        <v>0</v>
      </c>
      <c r="Q23" s="37">
        <f t="shared" si="9"/>
        <v>0</v>
      </c>
      <c r="R23" s="37">
        <f t="shared" si="9"/>
        <v>0</v>
      </c>
      <c r="S23" s="37">
        <f t="shared" si="9"/>
        <v>0</v>
      </c>
      <c r="T23" s="37">
        <f t="shared" si="9"/>
        <v>0</v>
      </c>
      <c r="U23" s="37">
        <f t="shared" si="9"/>
        <v>0</v>
      </c>
      <c r="V23" s="37">
        <f t="shared" si="9"/>
        <v>0</v>
      </c>
      <c r="W23" s="192" t="s">
        <v>265</v>
      </c>
      <c r="X23" s="192"/>
      <c r="Y23" s="19" t="str">
        <f>"1 zu "&amp;ROUND(IFERROR(N30/Q30,0),1)</f>
        <v>1 zu 0</v>
      </c>
      <c r="Z23" s="85"/>
      <c r="AA23" s="85"/>
    </row>
    <row r="24" spans="1:37" x14ac:dyDescent="0.25">
      <c r="A24" s="165" t="s">
        <v>164</v>
      </c>
      <c r="B24" s="165"/>
      <c r="C24" s="165"/>
      <c r="D24" s="165"/>
      <c r="E24" s="165"/>
      <c r="F24" s="19">
        <f>SUM(F15:F23)</f>
        <v>0</v>
      </c>
      <c r="G24" s="19">
        <f t="shared" ref="G24:V24" si="10">SUM(G15:G23)</f>
        <v>0</v>
      </c>
      <c r="H24" s="19">
        <f t="shared" si="10"/>
        <v>0</v>
      </c>
      <c r="I24" s="19">
        <f t="shared" si="10"/>
        <v>0</v>
      </c>
      <c r="J24" s="19">
        <f t="shared" si="10"/>
        <v>0</v>
      </c>
      <c r="K24" s="19">
        <f t="shared" si="10"/>
        <v>0</v>
      </c>
      <c r="L24" s="19">
        <f t="shared" si="10"/>
        <v>0</v>
      </c>
      <c r="M24" s="19">
        <f t="shared" si="10"/>
        <v>0</v>
      </c>
      <c r="N24" s="19">
        <f t="shared" si="10"/>
        <v>0</v>
      </c>
      <c r="O24" s="19">
        <f t="shared" si="10"/>
        <v>0</v>
      </c>
      <c r="P24" s="19">
        <f t="shared" si="10"/>
        <v>0</v>
      </c>
      <c r="Q24" s="19">
        <f t="shared" si="10"/>
        <v>0</v>
      </c>
      <c r="R24" s="19">
        <f t="shared" si="10"/>
        <v>0</v>
      </c>
      <c r="S24" s="19">
        <f t="shared" si="10"/>
        <v>0</v>
      </c>
      <c r="T24" s="19">
        <f t="shared" si="10"/>
        <v>0</v>
      </c>
      <c r="U24" s="19">
        <f t="shared" si="10"/>
        <v>0</v>
      </c>
      <c r="V24" s="19">
        <f t="shared" si="10"/>
        <v>0</v>
      </c>
      <c r="W24" s="193" t="s">
        <v>268</v>
      </c>
      <c r="X24" s="193"/>
      <c r="Y24" s="84" t="str">
        <f>"1 zu "&amp;ROUND(IFERROR(N30/S30,0),1)</f>
        <v>1 zu 0</v>
      </c>
      <c r="Z24" s="86"/>
      <c r="AA24" s="86"/>
    </row>
    <row r="25" spans="1:37" x14ac:dyDescent="0.25">
      <c r="A25" s="197" t="s">
        <v>165</v>
      </c>
      <c r="B25" s="197"/>
      <c r="C25" s="197"/>
      <c r="D25" s="197"/>
      <c r="E25" s="197"/>
      <c r="F25" s="20">
        <f>F24+Wasserwerte!J5</f>
        <v>0</v>
      </c>
      <c r="G25" s="20">
        <f>G24+Wasserwerte!K5</f>
        <v>1.2881999999999999E-2</v>
      </c>
      <c r="H25" s="20">
        <f>H24+Wasserwerte!L5</f>
        <v>0</v>
      </c>
      <c r="I25" s="20">
        <f>I24+Wasserwerte!M5</f>
        <v>2.6488000000000001E-2</v>
      </c>
      <c r="J25" s="20">
        <f>J24+Wasserwerte!N5</f>
        <v>0.20984999999999998</v>
      </c>
      <c r="K25" s="20">
        <f>K24+Wasserwerte!O5</f>
        <v>0.13429799999999997</v>
      </c>
      <c r="L25" s="20">
        <f>L24+Wasserwerte!P5</f>
        <v>2.9634000000000001E-2</v>
      </c>
      <c r="M25" s="20">
        <f>M24+Wasserwerte!Q5</f>
        <v>0.16700000000000001</v>
      </c>
      <c r="N25" s="12">
        <f>N24+Wasserwerte!R5</f>
        <v>1E-4</v>
      </c>
      <c r="O25" s="12">
        <f>O24+Wasserwerte!S5</f>
        <v>0</v>
      </c>
      <c r="P25" s="12">
        <f>P24+Wasserwerte!T5</f>
        <v>2.0000000000000002E-5</v>
      </c>
      <c r="Q25" s="12">
        <f>Q24+Wasserwerte!U5</f>
        <v>0</v>
      </c>
      <c r="R25" s="12">
        <f>R24+Wasserwerte!V5</f>
        <v>1E-4</v>
      </c>
      <c r="S25" s="12">
        <f>S24+Wasserwerte!W5</f>
        <v>0</v>
      </c>
      <c r="T25" s="20">
        <f>T24+Wasserwerte!X5</f>
        <v>0.03</v>
      </c>
      <c r="U25" s="20">
        <f>U24+Wasserwerte!Y5</f>
        <v>0</v>
      </c>
      <c r="V25" s="20">
        <f>V24+Wasserwerte!Z5</f>
        <v>0.63391038984000014</v>
      </c>
      <c r="W25" s="192" t="s">
        <v>344</v>
      </c>
      <c r="X25" s="192"/>
      <c r="Y25" s="87" t="str">
        <f>"1 zu "&amp;ROUND(IFERROR(U30/N30,0),1)</f>
        <v>1 zu 0</v>
      </c>
      <c r="Z25" s="85"/>
      <c r="AA25" s="85"/>
    </row>
    <row r="26" spans="1:37" x14ac:dyDescent="0.25">
      <c r="A26" s="165" t="s">
        <v>270</v>
      </c>
      <c r="B26" s="165"/>
      <c r="C26" s="165"/>
      <c r="D26" s="165"/>
      <c r="E26" s="165"/>
      <c r="F26" s="47">
        <f>F25/Wasserwerte!$I$3</f>
        <v>0</v>
      </c>
      <c r="G26" s="95">
        <f>G25/Wasserwerte!$I$3</f>
        <v>1.2882E-3</v>
      </c>
      <c r="H26" s="47">
        <f>H25/Wasserwerte!$I$3</f>
        <v>0</v>
      </c>
      <c r="I26" s="47">
        <f>I25/Wasserwerte!$I$3</f>
        <v>2.6488000000000002E-3</v>
      </c>
      <c r="J26" s="47">
        <f>J25/Wasserwerte!$I$3</f>
        <v>2.0984999999999997E-2</v>
      </c>
      <c r="K26" s="47">
        <f>K25/Wasserwerte!$I$3</f>
        <v>1.3429799999999997E-2</v>
      </c>
      <c r="L26" s="47">
        <f>L25/Wasserwerte!$I$3</f>
        <v>2.9634000000000001E-3</v>
      </c>
      <c r="M26" s="47">
        <f>M25/Wasserwerte!$I$3</f>
        <v>1.67E-2</v>
      </c>
      <c r="N26" s="82">
        <f>N25/Wasserwerte!$I$3</f>
        <v>1.0000000000000001E-5</v>
      </c>
      <c r="O26" s="82">
        <f>O25/Wasserwerte!$I$3</f>
        <v>0</v>
      </c>
      <c r="P26" s="82">
        <f>P25/Wasserwerte!$I$3</f>
        <v>2.0000000000000003E-6</v>
      </c>
      <c r="Q26" s="82">
        <f>Q25/Wasserwerte!$I$3</f>
        <v>0</v>
      </c>
      <c r="R26" s="82">
        <f>R25/Wasserwerte!$I$3</f>
        <v>1.0000000000000001E-5</v>
      </c>
      <c r="S26" s="82">
        <f>S25/Wasserwerte!$I$3</f>
        <v>0</v>
      </c>
      <c r="T26" s="82">
        <f>T25/Wasserwerte!$I$3</f>
        <v>3.0000000000000001E-3</v>
      </c>
      <c r="U26" s="82">
        <f>U25/Wasserwerte!$I$3</f>
        <v>0</v>
      </c>
      <c r="V26" s="82">
        <f>V25/Wasserwerte!$I$3</f>
        <v>6.3391038984000017E-2</v>
      </c>
      <c r="W26" s="193" t="s">
        <v>274</v>
      </c>
      <c r="X26" s="193"/>
      <c r="Y26" s="87" t="str">
        <f>"1 zu "&amp;ROUND(IFERROR(M30/T30,0),1)</f>
        <v>1 zu 1,9</v>
      </c>
      <c r="Z26" s="86"/>
      <c r="AA26" s="86"/>
    </row>
    <row r="27" spans="1:37" x14ac:dyDescent="0.25">
      <c r="A27" s="205" t="s">
        <v>272</v>
      </c>
      <c r="B27" s="205"/>
      <c r="C27" s="205"/>
      <c r="D27" s="205"/>
      <c r="E27" s="205"/>
      <c r="F27" s="82">
        <f>(F25/(Wasserwerte!$I$3*1000))*100</f>
        <v>0</v>
      </c>
      <c r="G27" s="82">
        <f>(G25/(Wasserwerte!$I$3*1000))*100</f>
        <v>1.2882E-4</v>
      </c>
      <c r="H27" s="82">
        <f>(H25/(Wasserwerte!$I$3*1000))*100</f>
        <v>0</v>
      </c>
      <c r="I27" s="82">
        <f>(I25/(Wasserwerte!$I$3*1000))*100</f>
        <v>2.6488E-4</v>
      </c>
      <c r="J27" s="82">
        <f>(J25/(Wasserwerte!$I$3*1000))*100</f>
        <v>2.0984999999999997E-3</v>
      </c>
      <c r="K27" s="82">
        <f>(K25/(Wasserwerte!$I$3*1000))*100</f>
        <v>1.3429799999999997E-3</v>
      </c>
      <c r="L27" s="82">
        <f>(L25/(Wasserwerte!$I$3*1000))*100</f>
        <v>2.9633999999999997E-4</v>
      </c>
      <c r="M27" s="82">
        <f>(M25/(Wasserwerte!$I$3*1000))*100</f>
        <v>1.67E-3</v>
      </c>
      <c r="N27" s="97">
        <f>(N25/(Wasserwerte!$I$3*1000))*100</f>
        <v>9.9999999999999995E-7</v>
      </c>
      <c r="O27" s="97">
        <f>(O25/(Wasserwerte!$I$3*1000))*100</f>
        <v>0</v>
      </c>
      <c r="P27" s="97">
        <f>(P25/(Wasserwerte!$I$3*1000))*100</f>
        <v>2.0000000000000002E-7</v>
      </c>
      <c r="Q27" s="97">
        <f>(Q25/(Wasserwerte!$I$3*1000))*100</f>
        <v>0</v>
      </c>
      <c r="R27" s="97">
        <f>(R25/(Wasserwerte!$I$3*1000))*100</f>
        <v>9.9999999999999995E-7</v>
      </c>
      <c r="S27" s="97">
        <f>(S25/(Wasserwerte!$I$3*1000))*100</f>
        <v>0</v>
      </c>
      <c r="T27" s="97">
        <f>(T25/(Wasserwerte!$I$3*1000))*100</f>
        <v>3.0000000000000003E-4</v>
      </c>
      <c r="U27" s="82">
        <f>(U25/(Wasserwerte!$I$3*1000))*100</f>
        <v>0</v>
      </c>
      <c r="V27" s="82">
        <f>(V25/(Wasserwerte!$I$3*1000))*100</f>
        <v>6.3391038984000015E-3</v>
      </c>
      <c r="W27" s="192"/>
      <c r="X27" s="192"/>
      <c r="Y27" s="87" t="str">
        <f>"1 zu "&amp;ROUND(IFERROR(N35/S35,0),1)</f>
        <v>1 zu 0</v>
      </c>
      <c r="Z27" s="88"/>
      <c r="AA27" s="88"/>
    </row>
    <row r="28" spans="1:37" x14ac:dyDescent="0.25">
      <c r="A28" s="161" t="s">
        <v>169</v>
      </c>
      <c r="B28" s="161"/>
      <c r="C28" s="161"/>
      <c r="D28" s="161"/>
      <c r="E28" s="161"/>
      <c r="F28" s="222" t="s">
        <v>172</v>
      </c>
      <c r="G28" s="223"/>
      <c r="H28" s="161" t="s">
        <v>46</v>
      </c>
      <c r="I28" s="161" t="s">
        <v>48</v>
      </c>
      <c r="J28" s="161" t="s">
        <v>50</v>
      </c>
      <c r="K28" s="161" t="s">
        <v>52</v>
      </c>
      <c r="L28" s="161" t="s">
        <v>54</v>
      </c>
      <c r="M28" s="161" t="s">
        <v>55</v>
      </c>
      <c r="N28" s="161" t="s">
        <v>8</v>
      </c>
      <c r="O28" s="161" t="s">
        <v>9</v>
      </c>
      <c r="P28" s="161" t="s">
        <v>10</v>
      </c>
      <c r="Q28" s="161" t="s">
        <v>11</v>
      </c>
      <c r="R28" s="161" t="s">
        <v>12</v>
      </c>
      <c r="S28" s="161" t="s">
        <v>13</v>
      </c>
      <c r="T28" s="161" t="s">
        <v>14</v>
      </c>
      <c r="U28" s="161" t="s">
        <v>105</v>
      </c>
      <c r="V28" s="161" t="s">
        <v>118</v>
      </c>
      <c r="W28" s="193"/>
      <c r="X28" s="193"/>
      <c r="Y28" s="87" t="str">
        <f>"1 zu "&amp;ROUND(IFERROR(N35/S35,0),1)</f>
        <v>1 zu 0</v>
      </c>
      <c r="Z28" s="89"/>
      <c r="AA28" s="89"/>
    </row>
    <row r="29" spans="1:37" x14ac:dyDescent="0.25">
      <c r="A29" s="161"/>
      <c r="B29" s="161"/>
      <c r="C29" s="161"/>
      <c r="D29" s="161"/>
      <c r="E29" s="161"/>
      <c r="F29" s="224"/>
      <c r="G29" s="225"/>
      <c r="H29" s="161"/>
      <c r="I29" s="161"/>
      <c r="J29" s="161"/>
      <c r="K29" s="161"/>
      <c r="L29" s="161"/>
      <c r="M29" s="161"/>
      <c r="N29" s="161"/>
      <c r="O29" s="161"/>
      <c r="P29" s="161"/>
      <c r="Q29" s="161"/>
      <c r="R29" s="161"/>
      <c r="S29" s="161"/>
      <c r="T29" s="161"/>
      <c r="U29" s="161"/>
      <c r="V29" s="161"/>
      <c r="W29" s="161" t="s">
        <v>316</v>
      </c>
      <c r="X29" s="161"/>
      <c r="Y29" s="161"/>
      <c r="Z29" s="161"/>
      <c r="AA29" s="161"/>
    </row>
    <row r="30" spans="1:37" x14ac:dyDescent="0.25">
      <c r="A30" s="216" t="s">
        <v>170</v>
      </c>
      <c r="B30" s="217"/>
      <c r="C30" s="217"/>
      <c r="D30" s="217"/>
      <c r="E30" s="218"/>
      <c r="F30" s="226">
        <f>F25+G25</f>
        <v>1.2881999999999999E-2</v>
      </c>
      <c r="G30" s="227"/>
      <c r="H30" s="20">
        <f>H25*Wasserwerte!X33</f>
        <v>0</v>
      </c>
      <c r="I30" s="20">
        <f>I25*Wasserwerte!X35</f>
        <v>2.1985040000000001E-2</v>
      </c>
      <c r="J30" s="20">
        <f>J25*Wasserwerte!X36</f>
        <v>0.15004274999999997</v>
      </c>
      <c r="K30" s="20">
        <f>K25*Wasserwerte!X37</f>
        <v>8.0981693999999979E-2</v>
      </c>
      <c r="L30" s="20">
        <f>L25*Wasserwerte!X38</f>
        <v>2.1988428000000001E-2</v>
      </c>
      <c r="M30" s="20">
        <f>M25*Wasserwerte!X39</f>
        <v>5.5778000000000008E-2</v>
      </c>
      <c r="N30" s="20">
        <f t="shared" ref="N30:T30" si="11">N25</f>
        <v>1E-4</v>
      </c>
      <c r="O30" s="20">
        <f t="shared" si="11"/>
        <v>0</v>
      </c>
      <c r="P30" s="20">
        <f t="shared" si="11"/>
        <v>2.0000000000000002E-5</v>
      </c>
      <c r="Q30" s="20">
        <f t="shared" si="11"/>
        <v>0</v>
      </c>
      <c r="R30" s="20">
        <f t="shared" si="11"/>
        <v>1E-4</v>
      </c>
      <c r="S30" s="20">
        <f t="shared" si="11"/>
        <v>0</v>
      </c>
      <c r="T30" s="20">
        <f t="shared" si="11"/>
        <v>0.03</v>
      </c>
      <c r="U30" s="20">
        <f>U25*Wasserwerte!X41</f>
        <v>0</v>
      </c>
      <c r="V30" s="20">
        <f>V25*Wasserwerte!X42</f>
        <v>0.12684546900698404</v>
      </c>
      <c r="W30" s="199" t="s">
        <v>28</v>
      </c>
      <c r="X30" s="199"/>
      <c r="Y30" s="12">
        <f>SUM(F64:V64)+Wasserwerte!P11</f>
        <v>0.16176000000000001</v>
      </c>
      <c r="Z30" s="198" t="s">
        <v>29</v>
      </c>
      <c r="AA30" s="198"/>
    </row>
    <row r="31" spans="1:37" x14ac:dyDescent="0.25">
      <c r="A31" s="219" t="s">
        <v>171</v>
      </c>
      <c r="B31" s="220"/>
      <c r="C31" s="220"/>
      <c r="D31" s="220"/>
      <c r="E31" s="221"/>
      <c r="F31" s="228">
        <f>F30*1000</f>
        <v>12.882</v>
      </c>
      <c r="G31" s="229"/>
      <c r="H31" s="13">
        <f t="shared" ref="H31:V31" si="12">H30*1000</f>
        <v>0</v>
      </c>
      <c r="I31" s="13">
        <f t="shared" si="12"/>
        <v>21.985040000000001</v>
      </c>
      <c r="J31" s="13">
        <f t="shared" si="12"/>
        <v>150.04274999999998</v>
      </c>
      <c r="K31" s="13">
        <f t="shared" si="12"/>
        <v>80.981693999999976</v>
      </c>
      <c r="L31" s="13">
        <f t="shared" si="12"/>
        <v>21.988428000000003</v>
      </c>
      <c r="M31" s="13">
        <f t="shared" si="12"/>
        <v>55.778000000000006</v>
      </c>
      <c r="N31" s="68">
        <f t="shared" si="12"/>
        <v>0.1</v>
      </c>
      <c r="O31" s="68">
        <f t="shared" si="12"/>
        <v>0</v>
      </c>
      <c r="P31" s="68">
        <f t="shared" si="12"/>
        <v>0.02</v>
      </c>
      <c r="Q31" s="68">
        <f t="shared" si="12"/>
        <v>0</v>
      </c>
      <c r="R31" s="68">
        <f t="shared" si="12"/>
        <v>0.1</v>
      </c>
      <c r="S31" s="68">
        <f t="shared" si="12"/>
        <v>0</v>
      </c>
      <c r="T31" s="13">
        <f t="shared" si="12"/>
        <v>30</v>
      </c>
      <c r="U31" s="13">
        <f t="shared" si="12"/>
        <v>0</v>
      </c>
      <c r="V31" s="13">
        <f t="shared" si="12"/>
        <v>126.84546900698405</v>
      </c>
      <c r="W31" s="199" t="s">
        <v>31</v>
      </c>
      <c r="X31" s="199"/>
      <c r="Y31" s="12">
        <f>SUM(F65:V65)+Wasserwerte!P12</f>
        <v>0.17764000000000002</v>
      </c>
      <c r="Z31" s="198" t="s">
        <v>29</v>
      </c>
      <c r="AA31" s="198"/>
    </row>
    <row r="32" spans="1:37" x14ac:dyDescent="0.25">
      <c r="A32" s="197" t="s">
        <v>269</v>
      </c>
      <c r="B32" s="197"/>
      <c r="C32" s="197"/>
      <c r="D32" s="197"/>
      <c r="E32" s="197"/>
      <c r="F32" s="214">
        <f>F30/Wasserwerte!$I$3</f>
        <v>1.2882E-3</v>
      </c>
      <c r="G32" s="215"/>
      <c r="H32" s="47">
        <f>H30/Wasserwerte!$I$3</f>
        <v>0</v>
      </c>
      <c r="I32" s="47">
        <f>I30/Wasserwerte!$I$3</f>
        <v>2.198504E-3</v>
      </c>
      <c r="J32" s="47">
        <f>J30/Wasserwerte!$I$3</f>
        <v>1.5004274999999997E-2</v>
      </c>
      <c r="K32" s="47">
        <f>K30/Wasserwerte!$I$3</f>
        <v>8.0981693999999972E-3</v>
      </c>
      <c r="L32" s="47">
        <f>L30/Wasserwerte!$I$3</f>
        <v>2.1988428000000002E-3</v>
      </c>
      <c r="M32" s="47">
        <f>M30/Wasserwerte!$I$3</f>
        <v>5.5778000000000008E-3</v>
      </c>
      <c r="N32" s="82">
        <f>N30/Wasserwerte!$I$3</f>
        <v>1.0000000000000001E-5</v>
      </c>
      <c r="O32" s="82">
        <f>O30/Wasserwerte!$I$3</f>
        <v>0</v>
      </c>
      <c r="P32" s="82">
        <f>P30/Wasserwerte!$I$3</f>
        <v>2.0000000000000003E-6</v>
      </c>
      <c r="Q32" s="82">
        <f>Q30/Wasserwerte!$I$3</f>
        <v>0</v>
      </c>
      <c r="R32" s="82">
        <f>R30/Wasserwerte!$I$3</f>
        <v>1.0000000000000001E-5</v>
      </c>
      <c r="S32" s="82">
        <f>S30/Wasserwerte!$I$3</f>
        <v>0</v>
      </c>
      <c r="T32" s="47">
        <f>T30/Wasserwerte!$I$3</f>
        <v>3.0000000000000001E-3</v>
      </c>
      <c r="U32" s="47">
        <f>U30/Wasserwerte!$I$3</f>
        <v>0</v>
      </c>
      <c r="V32" s="47">
        <f>V30/Wasserwerte!$I$3</f>
        <v>1.2684546900698404E-2</v>
      </c>
      <c r="W32" s="161" t="s">
        <v>334</v>
      </c>
      <c r="X32" s="161"/>
      <c r="Y32" s="161"/>
      <c r="Z32" s="161"/>
      <c r="AA32" s="161"/>
      <c r="AG32" s="9"/>
      <c r="AH32" s="9"/>
      <c r="AI32" s="9"/>
      <c r="AJ32" s="9"/>
      <c r="AK32" s="9"/>
    </row>
    <row r="33" spans="1:53" x14ac:dyDescent="0.25">
      <c r="A33" s="230" t="s">
        <v>271</v>
      </c>
      <c r="B33" s="230"/>
      <c r="C33" s="230"/>
      <c r="D33" s="230"/>
      <c r="E33" s="230"/>
      <c r="F33" s="204">
        <f>(F30/(Wasserwerte!$I$3*1000))*100</f>
        <v>1.2882E-4</v>
      </c>
      <c r="G33" s="204"/>
      <c r="H33" s="145">
        <f>(H30/(Wasserwerte!$I$3*1000))*100</f>
        <v>0</v>
      </c>
      <c r="I33" s="145">
        <f>(I30/(Wasserwerte!$I$3*1000))*100</f>
        <v>2.1985039999999998E-4</v>
      </c>
      <c r="J33" s="145">
        <f>(J30/(Wasserwerte!$I$3*1000))*100</f>
        <v>1.5004274999999999E-3</v>
      </c>
      <c r="K33" s="145">
        <f>(K30/(Wasserwerte!$I$3*1000))*100</f>
        <v>8.0981693999999981E-4</v>
      </c>
      <c r="L33" s="145">
        <f>(L30/(Wasserwerte!$I$3*1000))*100</f>
        <v>2.1988428000000002E-4</v>
      </c>
      <c r="M33" s="145">
        <f>(M30/(Wasserwerte!$I$3*1000))*100</f>
        <v>5.5778000000000012E-4</v>
      </c>
      <c r="N33" s="96">
        <f>(N30/(Wasserwerte!$I$3*1000))*100</f>
        <v>9.9999999999999995E-7</v>
      </c>
      <c r="O33" s="96">
        <f>(O30/(Wasserwerte!$I$3*1000))*100</f>
        <v>0</v>
      </c>
      <c r="P33" s="96">
        <f>(P30/(Wasserwerte!$I$3*1000))*100</f>
        <v>2.0000000000000002E-7</v>
      </c>
      <c r="Q33" s="96">
        <f>(Q30/(Wasserwerte!$I$3*1000))*100</f>
        <v>0</v>
      </c>
      <c r="R33" s="96">
        <f>(R30/(Wasserwerte!$I$3*1000))*100</f>
        <v>9.9999999999999995E-7</v>
      </c>
      <c r="S33" s="96">
        <f>(S30/(Wasserwerte!$I$3*1000))*100</f>
        <v>0</v>
      </c>
      <c r="T33" s="96">
        <f>(T30/(Wasserwerte!$I$3*1000))*100</f>
        <v>3.0000000000000003E-4</v>
      </c>
      <c r="U33" s="145">
        <f>(U30/(Wasserwerte!$I$3*1000))*100</f>
        <v>0</v>
      </c>
      <c r="V33" s="145">
        <f>(V30/(Wasserwerte!$I$3*1000))*100</f>
        <v>1.2684546900698405E-3</v>
      </c>
      <c r="W33" s="199" t="s">
        <v>28</v>
      </c>
      <c r="X33" s="199"/>
      <c r="Y33" s="13">
        <f>SUM(F66:V66)</f>
        <v>0</v>
      </c>
      <c r="Z33" s="198" t="s">
        <v>179</v>
      </c>
      <c r="AA33" s="198"/>
      <c r="AG33" s="9"/>
      <c r="AH33" s="9"/>
      <c r="AJ33" s="9"/>
      <c r="AK33" s="9"/>
    </row>
    <row r="34" spans="1:53" x14ac:dyDescent="0.25">
      <c r="A34" s="210" t="s">
        <v>173</v>
      </c>
      <c r="B34" s="211"/>
      <c r="C34" s="211"/>
      <c r="D34" s="211"/>
      <c r="E34" s="212"/>
      <c r="F34" s="213">
        <f>F30*100</f>
        <v>1.2882</v>
      </c>
      <c r="G34" s="213"/>
      <c r="H34" s="140">
        <f t="shared" ref="H34:V34" si="13">H30*100</f>
        <v>0</v>
      </c>
      <c r="I34" s="140">
        <f t="shared" si="13"/>
        <v>2.1985040000000002</v>
      </c>
      <c r="J34" s="140">
        <f t="shared" si="13"/>
        <v>15.004274999999998</v>
      </c>
      <c r="K34" s="140">
        <f t="shared" si="13"/>
        <v>8.098169399999998</v>
      </c>
      <c r="L34" s="140">
        <f t="shared" si="13"/>
        <v>2.1988428</v>
      </c>
      <c r="M34" s="140">
        <f t="shared" si="13"/>
        <v>5.5778000000000008</v>
      </c>
      <c r="N34" s="141">
        <f t="shared" si="13"/>
        <v>0.01</v>
      </c>
      <c r="O34" s="141">
        <f t="shared" si="13"/>
        <v>0</v>
      </c>
      <c r="P34" s="141">
        <f t="shared" si="13"/>
        <v>2E-3</v>
      </c>
      <c r="Q34" s="141">
        <f t="shared" si="13"/>
        <v>0</v>
      </c>
      <c r="R34" s="141">
        <f t="shared" si="13"/>
        <v>0.01</v>
      </c>
      <c r="S34" s="141">
        <f t="shared" si="13"/>
        <v>0</v>
      </c>
      <c r="T34" s="140">
        <f t="shared" si="13"/>
        <v>3</v>
      </c>
      <c r="U34" s="140">
        <f t="shared" si="13"/>
        <v>0</v>
      </c>
      <c r="V34" s="140">
        <f t="shared" si="13"/>
        <v>12.684546900698404</v>
      </c>
      <c r="W34" s="199" t="s">
        <v>31</v>
      </c>
      <c r="X34" s="199"/>
      <c r="Y34" s="13">
        <f>SUM(F67:V67)</f>
        <v>0</v>
      </c>
      <c r="Z34" s="198" t="s">
        <v>179</v>
      </c>
      <c r="AA34" s="198"/>
      <c r="AG34" s="9"/>
      <c r="AH34" s="9"/>
      <c r="AJ34" s="9"/>
      <c r="AK34" s="9"/>
    </row>
    <row r="35" spans="1:53"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53" x14ac:dyDescent="0.25">
      <c r="W36" s="9"/>
      <c r="X36" s="9"/>
      <c r="Y36" s="9"/>
      <c r="Z36" s="9"/>
      <c r="AA36" s="9"/>
      <c r="AG36" s="9"/>
      <c r="AH36" s="9"/>
      <c r="AI36" s="9"/>
      <c r="AJ36" s="9"/>
      <c r="AK36" s="9"/>
      <c r="AL36" s="9"/>
      <c r="AM36" s="9"/>
      <c r="AN36" s="9"/>
      <c r="AO36" s="9"/>
      <c r="AP36" s="9"/>
      <c r="AQ36" s="9"/>
      <c r="AR36" s="9"/>
      <c r="AS36" s="9"/>
      <c r="AT36" s="9"/>
      <c r="AU36" s="9"/>
      <c r="AV36" s="9"/>
      <c r="AW36" s="9"/>
      <c r="AX36" s="9"/>
      <c r="AY36" s="9"/>
      <c r="AZ36" s="9"/>
      <c r="BA36" s="9"/>
    </row>
    <row r="37" spans="1:53" x14ac:dyDescent="0.25">
      <c r="B37" s="171" t="s">
        <v>348</v>
      </c>
      <c r="C37" s="171"/>
      <c r="D37" s="171"/>
      <c r="E37" s="171"/>
      <c r="F37" s="161" t="str">
        <f>Wasserwerte!J47</f>
        <v>NH4+</v>
      </c>
      <c r="G37" s="161" t="str">
        <f>Wasserwerte!K47</f>
        <v>NO3-</v>
      </c>
      <c r="H37" s="161" t="str">
        <f>Wasserwerte!L47</f>
        <v>PO4-³</v>
      </c>
      <c r="I37" s="161" t="str">
        <f>Wasserwerte!M47</f>
        <v>K+</v>
      </c>
      <c r="J37" s="161" t="str">
        <f>Wasserwerte!N47</f>
        <v>Ca+²</v>
      </c>
      <c r="K37" s="161" t="str">
        <f>Wasserwerte!O47</f>
        <v>Mg+²</v>
      </c>
      <c r="L37" s="161" t="str">
        <f>Wasserwerte!P47</f>
        <v>Na+</v>
      </c>
      <c r="M37" s="161" t="str">
        <f>Wasserwerte!Q47</f>
        <v>SO4-²</v>
      </c>
      <c r="N37" s="161" t="str">
        <f>Wasserwerte!R47</f>
        <v>Fe+²</v>
      </c>
      <c r="O37" s="161" t="str">
        <f>Wasserwerte!S47</f>
        <v>Mn+</v>
      </c>
      <c r="P37" s="161" t="str">
        <f>Wasserwerte!T47</f>
        <v>Cu+²</v>
      </c>
      <c r="Q37" s="161" t="str">
        <f>Wasserwerte!U47</f>
        <v>Zn+²</v>
      </c>
      <c r="R37" s="161" t="str">
        <f>Wasserwerte!V47</f>
        <v>B+</v>
      </c>
      <c r="S37" s="161" t="str">
        <f>Wasserwerte!W47</f>
        <v>MoO4-²</v>
      </c>
      <c r="T37" s="161" t="str">
        <f>Wasserwerte!X47</f>
        <v>Cl-</v>
      </c>
      <c r="U37" s="161" t="str">
        <f>Wasserwerte!Y47</f>
        <v>SiO2</v>
      </c>
      <c r="V37" s="161" t="str">
        <f>Wasserwerte!Z47</f>
        <v>HCO3-</v>
      </c>
      <c r="AG37" s="9"/>
      <c r="AH37" s="9"/>
      <c r="AI37" s="9"/>
      <c r="AJ37" s="9"/>
      <c r="AK37" s="9"/>
      <c r="AL37" s="9"/>
      <c r="AM37" s="9"/>
      <c r="AN37" s="9"/>
      <c r="AO37" s="9"/>
      <c r="AP37" s="9"/>
      <c r="AQ37" s="9"/>
      <c r="AR37" s="9"/>
      <c r="AS37" s="9"/>
      <c r="AT37" s="9"/>
      <c r="AU37" s="9"/>
      <c r="AV37" s="9"/>
      <c r="AW37" s="9"/>
      <c r="AX37" s="9"/>
      <c r="AY37" s="9"/>
      <c r="AZ37" s="9"/>
      <c r="BA37" s="9"/>
    </row>
    <row r="38" spans="1:53" x14ac:dyDescent="0.25">
      <c r="B38" s="171"/>
      <c r="C38" s="171"/>
      <c r="D38" s="171"/>
      <c r="E38" s="171"/>
      <c r="F38" s="161"/>
      <c r="G38" s="161"/>
      <c r="H38" s="161"/>
      <c r="I38" s="161"/>
      <c r="J38" s="161"/>
      <c r="K38" s="161"/>
      <c r="L38" s="161"/>
      <c r="M38" s="161"/>
      <c r="N38" s="161"/>
      <c r="O38" s="161"/>
      <c r="P38" s="161"/>
      <c r="Q38" s="161"/>
      <c r="R38" s="161"/>
      <c r="S38" s="161"/>
      <c r="T38" s="161"/>
      <c r="U38" s="161"/>
      <c r="V38" s="161"/>
      <c r="AG38" s="9"/>
      <c r="AH38" s="9"/>
      <c r="AI38" s="9"/>
      <c r="AJ38" s="9"/>
    </row>
    <row r="39" spans="1:53" x14ac:dyDescent="0.25">
      <c r="B39" s="165" t="s">
        <v>71</v>
      </c>
      <c r="C39" s="165"/>
      <c r="D39" s="165"/>
      <c r="E39" s="165"/>
      <c r="F39" s="91">
        <f>Wasserwerte!J49</f>
        <v>1.2869999999999999</v>
      </c>
      <c r="G39" s="91">
        <f>Wasserwerte!K49</f>
        <v>4.4260000000000002</v>
      </c>
      <c r="H39" s="91">
        <f>Wasserwerte!L49</f>
        <v>1.3380000000000001</v>
      </c>
      <c r="I39" s="91">
        <f>Wasserwerte!M49</f>
        <v>0.83</v>
      </c>
      <c r="J39" s="91">
        <f>Wasserwerte!N49</f>
        <v>0.71499999999999997</v>
      </c>
      <c r="K39" s="91">
        <f>Wasserwerte!O49</f>
        <v>0.60299999999999998</v>
      </c>
      <c r="L39" s="91">
        <f>Wasserwerte!P49</f>
        <v>0.74199999999999999</v>
      </c>
      <c r="M39" s="91">
        <f>Wasserwerte!Q49</f>
        <v>1</v>
      </c>
      <c r="N39" s="91">
        <f>Wasserwerte!R49</f>
        <v>1</v>
      </c>
      <c r="O39" s="91">
        <f>Wasserwerte!S49</f>
        <v>1</v>
      </c>
      <c r="P39" s="91">
        <f>Wasserwerte!T49</f>
        <v>1</v>
      </c>
      <c r="Q39" s="91">
        <f>Wasserwerte!U49</f>
        <v>1</v>
      </c>
      <c r="R39" s="91">
        <f>Wasserwerte!V49</f>
        <v>1</v>
      </c>
      <c r="S39" s="91">
        <f>Wasserwerte!W49</f>
        <v>1.6659999999999999</v>
      </c>
      <c r="T39" s="91">
        <f>Wasserwerte!X49</f>
        <v>1</v>
      </c>
      <c r="U39" s="91">
        <f>Wasserwerte!Y49</f>
        <v>1</v>
      </c>
      <c r="V39" s="91">
        <f>Wasserwerte!Z49</f>
        <v>1.0169999999999999</v>
      </c>
      <c r="AG39" s="9"/>
      <c r="AH39" s="9"/>
      <c r="AI39" s="9"/>
      <c r="AJ39" s="9"/>
    </row>
    <row r="40" spans="1:53" x14ac:dyDescent="0.25">
      <c r="B40" s="167" t="s">
        <v>72</v>
      </c>
      <c r="C40" s="167"/>
      <c r="D40" s="167"/>
      <c r="E40" s="167"/>
      <c r="F40" s="53">
        <f>Wasserwerte!J50</f>
        <v>18.038460000000001</v>
      </c>
      <c r="G40" s="53">
        <f>Wasserwerte!K50</f>
        <v>62.004899999999999</v>
      </c>
      <c r="H40" s="53">
        <f>Wasserwerte!L50</f>
        <v>94.971400000000003</v>
      </c>
      <c r="I40" s="53">
        <f>Wasserwerte!M50</f>
        <v>39.098300000000002</v>
      </c>
      <c r="J40" s="53">
        <f>Wasserwerte!N50</f>
        <v>40.078000000000003</v>
      </c>
      <c r="K40" s="53">
        <f>Wasserwerte!O50</f>
        <v>24.305</v>
      </c>
      <c r="L40" s="53">
        <f>Wasserwerte!P50</f>
        <v>22.989769280000001</v>
      </c>
      <c r="M40" s="53">
        <f>Wasserwerte!Q50</f>
        <v>96.062600000000003</v>
      </c>
      <c r="N40" s="53">
        <f>Wasserwerte!R50</f>
        <v>55.844999999999999</v>
      </c>
      <c r="O40" s="53">
        <f>Wasserwerte!S50</f>
        <v>54.938045000000002</v>
      </c>
      <c r="P40" s="53">
        <f>Wasserwerte!T50</f>
        <v>63.545999999999999</v>
      </c>
      <c r="Q40" s="53">
        <f>Wasserwerte!U50</f>
        <v>65.38</v>
      </c>
      <c r="R40" s="53">
        <f>Wasserwerte!V50</f>
        <v>10.811</v>
      </c>
      <c r="S40" s="53">
        <f>Wasserwerte!W50</f>
        <v>159.95760000000001</v>
      </c>
      <c r="T40" s="53">
        <f>Wasserwerte!X50</f>
        <v>35.453000000000003</v>
      </c>
      <c r="U40" s="53">
        <f>Wasserwerte!Y50</f>
        <v>60.084299999999999</v>
      </c>
      <c r="V40" s="53">
        <f>Wasserwerte!Z50</f>
        <v>61.016800000000003</v>
      </c>
      <c r="AG40" s="9"/>
      <c r="AH40" s="9"/>
      <c r="AI40" s="9"/>
      <c r="AJ40" s="9"/>
    </row>
    <row r="41" spans="1:53" x14ac:dyDescent="0.25">
      <c r="B41" s="165" t="str">
        <f t="shared" ref="B41:B49" si="14">"Ionenladung z von  " &amp;A15</f>
        <v>Ionenladung z von  (AA) Kein Dünger</v>
      </c>
      <c r="C41" s="165"/>
      <c r="D41" s="165"/>
      <c r="E41" s="165"/>
      <c r="F41" s="49">
        <v>1</v>
      </c>
      <c r="G41" s="49">
        <v>1</v>
      </c>
      <c r="H41" s="49">
        <f t="shared" ref="H41:H49" si="15">Y3</f>
        <v>0</v>
      </c>
      <c r="I41" s="49">
        <v>1</v>
      </c>
      <c r="J41" s="49">
        <v>2</v>
      </c>
      <c r="K41" s="49">
        <v>2</v>
      </c>
      <c r="L41" s="49">
        <v>1</v>
      </c>
      <c r="M41" s="49">
        <f t="shared" ref="M41:M49" si="16">Z3</f>
        <v>0</v>
      </c>
      <c r="N41" s="49">
        <f t="shared" ref="N41:N49" si="17">AA3</f>
        <v>0</v>
      </c>
      <c r="O41" s="49">
        <v>2</v>
      </c>
      <c r="P41" s="49">
        <v>2</v>
      </c>
      <c r="Q41" s="49">
        <v>2</v>
      </c>
      <c r="R41" s="49">
        <v>0</v>
      </c>
      <c r="S41" s="49">
        <v>0</v>
      </c>
      <c r="T41" s="49">
        <v>1</v>
      </c>
      <c r="U41" s="49">
        <v>1</v>
      </c>
      <c r="V41" s="49">
        <f t="shared" ref="V41:V49" si="18">AB3</f>
        <v>0</v>
      </c>
      <c r="AG41" s="9"/>
      <c r="AH41" s="9"/>
      <c r="AI41" s="9"/>
      <c r="AJ41" s="9"/>
    </row>
    <row r="42" spans="1:53" x14ac:dyDescent="0.25">
      <c r="B42" s="167" t="str">
        <f t="shared" si="14"/>
        <v>Ionenladung z von  (AA) Kein Dünger</v>
      </c>
      <c r="C42" s="167"/>
      <c r="D42" s="167"/>
      <c r="E42" s="167"/>
      <c r="F42" s="51">
        <v>1</v>
      </c>
      <c r="G42" s="51">
        <v>1</v>
      </c>
      <c r="H42" s="51">
        <f t="shared" si="15"/>
        <v>0</v>
      </c>
      <c r="I42" s="51">
        <v>1</v>
      </c>
      <c r="J42" s="51">
        <v>2</v>
      </c>
      <c r="K42" s="51">
        <v>2</v>
      </c>
      <c r="L42" s="51">
        <v>1</v>
      </c>
      <c r="M42" s="51">
        <f t="shared" si="16"/>
        <v>0</v>
      </c>
      <c r="N42" s="51">
        <f t="shared" si="17"/>
        <v>0</v>
      </c>
      <c r="O42" s="51">
        <v>2</v>
      </c>
      <c r="P42" s="51">
        <v>2</v>
      </c>
      <c r="Q42" s="51">
        <v>2</v>
      </c>
      <c r="R42" s="51">
        <v>0</v>
      </c>
      <c r="S42" s="51">
        <v>0</v>
      </c>
      <c r="T42" s="51">
        <v>1</v>
      </c>
      <c r="U42" s="51">
        <v>1</v>
      </c>
      <c r="V42" s="51">
        <f t="shared" si="18"/>
        <v>0</v>
      </c>
      <c r="AG42" s="9"/>
      <c r="AH42" s="9"/>
      <c r="AI42" s="9"/>
      <c r="AJ42" s="9"/>
    </row>
    <row r="43" spans="1:53" x14ac:dyDescent="0.25">
      <c r="B43" s="165" t="str">
        <f t="shared" si="14"/>
        <v>Ionenladung z von  (AA) Kein Dünger</v>
      </c>
      <c r="C43" s="165"/>
      <c r="D43" s="165"/>
      <c r="E43" s="165"/>
      <c r="F43" s="49">
        <v>1</v>
      </c>
      <c r="G43" s="49">
        <v>1</v>
      </c>
      <c r="H43" s="49">
        <f t="shared" si="15"/>
        <v>0</v>
      </c>
      <c r="I43" s="49">
        <v>1</v>
      </c>
      <c r="J43" s="49">
        <v>2</v>
      </c>
      <c r="K43" s="49">
        <v>2</v>
      </c>
      <c r="L43" s="49">
        <v>1</v>
      </c>
      <c r="M43" s="49">
        <f t="shared" si="16"/>
        <v>0</v>
      </c>
      <c r="N43" s="49">
        <f t="shared" si="17"/>
        <v>0</v>
      </c>
      <c r="O43" s="49">
        <v>2</v>
      </c>
      <c r="P43" s="49">
        <v>2</v>
      </c>
      <c r="Q43" s="49">
        <v>2</v>
      </c>
      <c r="R43" s="49">
        <v>0</v>
      </c>
      <c r="S43" s="49">
        <v>0</v>
      </c>
      <c r="T43" s="49">
        <v>1</v>
      </c>
      <c r="U43" s="49">
        <v>1</v>
      </c>
      <c r="V43" s="49">
        <f t="shared" si="18"/>
        <v>0</v>
      </c>
      <c r="AG43" s="9"/>
      <c r="AH43" s="9"/>
      <c r="AI43" s="9"/>
      <c r="AJ43" s="9"/>
    </row>
    <row r="44" spans="1:53" x14ac:dyDescent="0.25">
      <c r="B44" s="167" t="str">
        <f t="shared" si="14"/>
        <v>Ionenladung z von  (AA) Kein Dünger</v>
      </c>
      <c r="C44" s="167"/>
      <c r="D44" s="167"/>
      <c r="E44" s="167"/>
      <c r="F44" s="51">
        <v>1</v>
      </c>
      <c r="G44" s="51">
        <v>1</v>
      </c>
      <c r="H44" s="51">
        <f t="shared" si="15"/>
        <v>0</v>
      </c>
      <c r="I44" s="51">
        <v>1</v>
      </c>
      <c r="J44" s="51">
        <v>2</v>
      </c>
      <c r="K44" s="51">
        <v>2</v>
      </c>
      <c r="L44" s="51">
        <v>1</v>
      </c>
      <c r="M44" s="51">
        <f t="shared" si="16"/>
        <v>0</v>
      </c>
      <c r="N44" s="51">
        <f t="shared" si="17"/>
        <v>0</v>
      </c>
      <c r="O44" s="51">
        <v>2</v>
      </c>
      <c r="P44" s="51">
        <v>2</v>
      </c>
      <c r="Q44" s="51">
        <v>2</v>
      </c>
      <c r="R44" s="51">
        <v>0</v>
      </c>
      <c r="S44" s="51">
        <v>0</v>
      </c>
      <c r="T44" s="51">
        <v>1</v>
      </c>
      <c r="U44" s="51">
        <v>1</v>
      </c>
      <c r="V44" s="51">
        <f t="shared" si="18"/>
        <v>0</v>
      </c>
      <c r="AG44" s="9"/>
      <c r="AH44" s="9"/>
      <c r="AI44" s="9"/>
      <c r="AJ44" s="9"/>
    </row>
    <row r="45" spans="1:53" x14ac:dyDescent="0.25">
      <c r="B45" s="165" t="str">
        <f t="shared" si="14"/>
        <v>Ionenladung z von  (AA) Kein Dünger</v>
      </c>
      <c r="C45" s="165"/>
      <c r="D45" s="165"/>
      <c r="E45" s="165"/>
      <c r="F45" s="49">
        <v>1</v>
      </c>
      <c r="G45" s="49">
        <v>1</v>
      </c>
      <c r="H45" s="49">
        <f t="shared" si="15"/>
        <v>0</v>
      </c>
      <c r="I45" s="49">
        <v>1</v>
      </c>
      <c r="J45" s="49">
        <v>2</v>
      </c>
      <c r="K45" s="49">
        <v>2</v>
      </c>
      <c r="L45" s="49">
        <v>1</v>
      </c>
      <c r="M45" s="49">
        <f t="shared" si="16"/>
        <v>0</v>
      </c>
      <c r="N45" s="49">
        <f t="shared" si="17"/>
        <v>0</v>
      </c>
      <c r="O45" s="49">
        <v>2</v>
      </c>
      <c r="P45" s="49">
        <v>2</v>
      </c>
      <c r="Q45" s="49">
        <v>2</v>
      </c>
      <c r="R45" s="49">
        <v>0</v>
      </c>
      <c r="S45" s="49">
        <v>0</v>
      </c>
      <c r="T45" s="49">
        <v>1</v>
      </c>
      <c r="U45" s="49">
        <v>1</v>
      </c>
      <c r="V45" s="49">
        <f t="shared" si="18"/>
        <v>0</v>
      </c>
      <c r="AG45" s="9"/>
      <c r="AH45" s="9"/>
      <c r="AI45" s="9"/>
      <c r="AJ45" s="9"/>
    </row>
    <row r="46" spans="1:53" x14ac:dyDescent="0.25">
      <c r="B46" s="167" t="str">
        <f t="shared" si="14"/>
        <v>Ionenladung z von  (AA) Kein Dünger</v>
      </c>
      <c r="C46" s="167"/>
      <c r="D46" s="167"/>
      <c r="E46" s="167"/>
      <c r="F46" s="51">
        <v>1</v>
      </c>
      <c r="G46" s="51">
        <v>1</v>
      </c>
      <c r="H46" s="51">
        <f t="shared" si="15"/>
        <v>0</v>
      </c>
      <c r="I46" s="51">
        <v>1</v>
      </c>
      <c r="J46" s="51">
        <v>2</v>
      </c>
      <c r="K46" s="51">
        <v>2</v>
      </c>
      <c r="L46" s="51">
        <v>1</v>
      </c>
      <c r="M46" s="51">
        <f t="shared" si="16"/>
        <v>0</v>
      </c>
      <c r="N46" s="51">
        <f t="shared" si="17"/>
        <v>0</v>
      </c>
      <c r="O46" s="51">
        <v>2</v>
      </c>
      <c r="P46" s="51">
        <v>2</v>
      </c>
      <c r="Q46" s="51">
        <v>2</v>
      </c>
      <c r="R46" s="51">
        <v>0</v>
      </c>
      <c r="S46" s="51">
        <v>0</v>
      </c>
      <c r="T46" s="51">
        <v>1</v>
      </c>
      <c r="U46" s="51">
        <v>1</v>
      </c>
      <c r="V46" s="51">
        <f t="shared" si="18"/>
        <v>0</v>
      </c>
      <c r="AG46" s="9"/>
      <c r="AH46" s="9"/>
      <c r="AI46" s="9"/>
      <c r="AJ46" s="9"/>
    </row>
    <row r="47" spans="1:53" x14ac:dyDescent="0.25">
      <c r="B47" s="165" t="str">
        <f t="shared" si="14"/>
        <v>Ionenladung z von  (AA) Kein Dünger</v>
      </c>
      <c r="C47" s="165"/>
      <c r="D47" s="165"/>
      <c r="E47" s="165"/>
      <c r="F47" s="49">
        <v>1</v>
      </c>
      <c r="G47" s="49">
        <v>1</v>
      </c>
      <c r="H47" s="49">
        <f t="shared" si="15"/>
        <v>0</v>
      </c>
      <c r="I47" s="49">
        <v>1</v>
      </c>
      <c r="J47" s="49">
        <v>2</v>
      </c>
      <c r="K47" s="49">
        <v>2</v>
      </c>
      <c r="L47" s="49">
        <v>1</v>
      </c>
      <c r="M47" s="49">
        <f t="shared" si="16"/>
        <v>0</v>
      </c>
      <c r="N47" s="49">
        <f t="shared" si="17"/>
        <v>0</v>
      </c>
      <c r="O47" s="49">
        <v>2</v>
      </c>
      <c r="P47" s="49">
        <v>2</v>
      </c>
      <c r="Q47" s="49">
        <v>2</v>
      </c>
      <c r="R47" s="49">
        <v>0</v>
      </c>
      <c r="S47" s="49">
        <v>0</v>
      </c>
      <c r="T47" s="49">
        <v>1</v>
      </c>
      <c r="U47" s="49">
        <v>1</v>
      </c>
      <c r="V47" s="49">
        <f t="shared" si="18"/>
        <v>0</v>
      </c>
      <c r="AG47" s="9"/>
      <c r="AH47" s="9"/>
      <c r="AI47" s="9"/>
      <c r="AJ47" s="9"/>
    </row>
    <row r="48" spans="1:53" x14ac:dyDescent="0.25">
      <c r="B48" s="167" t="str">
        <f t="shared" si="14"/>
        <v>Ionenladung z von  (AA) Kein Dünger</v>
      </c>
      <c r="C48" s="167"/>
      <c r="D48" s="167"/>
      <c r="E48" s="167"/>
      <c r="F48" s="51">
        <v>1</v>
      </c>
      <c r="G48" s="51">
        <v>1</v>
      </c>
      <c r="H48" s="51">
        <f t="shared" si="15"/>
        <v>0</v>
      </c>
      <c r="I48" s="51">
        <v>1</v>
      </c>
      <c r="J48" s="51">
        <v>2</v>
      </c>
      <c r="K48" s="51">
        <v>2</v>
      </c>
      <c r="L48" s="51">
        <v>1</v>
      </c>
      <c r="M48" s="51">
        <f t="shared" si="16"/>
        <v>0</v>
      </c>
      <c r="N48" s="51">
        <f t="shared" si="17"/>
        <v>0</v>
      </c>
      <c r="O48" s="51">
        <v>2</v>
      </c>
      <c r="P48" s="51">
        <v>2</v>
      </c>
      <c r="Q48" s="51">
        <v>2</v>
      </c>
      <c r="R48" s="51">
        <v>0</v>
      </c>
      <c r="S48" s="51">
        <v>0</v>
      </c>
      <c r="T48" s="51">
        <v>1</v>
      </c>
      <c r="U48" s="51">
        <v>1</v>
      </c>
      <c r="V48" s="51">
        <f t="shared" si="18"/>
        <v>0</v>
      </c>
      <c r="AG48" s="9"/>
      <c r="AH48" s="9"/>
      <c r="AI48" s="9"/>
      <c r="AJ48" s="9"/>
    </row>
    <row r="49" spans="2:53" x14ac:dyDescent="0.25">
      <c r="B49" s="165" t="str">
        <f t="shared" si="14"/>
        <v>Ionenladung z von  (AA) Kein Dünger</v>
      </c>
      <c r="C49" s="165"/>
      <c r="D49" s="165"/>
      <c r="E49" s="165"/>
      <c r="F49" s="49">
        <v>1</v>
      </c>
      <c r="G49" s="49">
        <v>1</v>
      </c>
      <c r="H49" s="49">
        <f t="shared" si="15"/>
        <v>0</v>
      </c>
      <c r="I49" s="49">
        <v>1</v>
      </c>
      <c r="J49" s="49">
        <v>2</v>
      </c>
      <c r="K49" s="49">
        <v>2</v>
      </c>
      <c r="L49" s="49">
        <v>1</v>
      </c>
      <c r="M49" s="49">
        <f t="shared" si="16"/>
        <v>0</v>
      </c>
      <c r="N49" s="49">
        <f t="shared" si="17"/>
        <v>0</v>
      </c>
      <c r="O49" s="49">
        <v>2</v>
      </c>
      <c r="P49" s="49">
        <v>2</v>
      </c>
      <c r="Q49" s="49">
        <v>2</v>
      </c>
      <c r="R49" s="49">
        <v>0</v>
      </c>
      <c r="S49" s="49">
        <v>0</v>
      </c>
      <c r="T49" s="49">
        <v>1</v>
      </c>
      <c r="U49" s="49">
        <v>1</v>
      </c>
      <c r="V49" s="49">
        <f t="shared" si="18"/>
        <v>0</v>
      </c>
      <c r="AG49" s="9"/>
      <c r="AH49" s="9"/>
      <c r="AI49" s="9"/>
      <c r="AJ49" s="9"/>
    </row>
    <row r="50" spans="2:53" x14ac:dyDescent="0.25">
      <c r="B50" s="206" t="s">
        <v>180</v>
      </c>
      <c r="C50" s="207"/>
      <c r="D50" s="207"/>
      <c r="E50" s="208"/>
      <c r="F50" s="51">
        <f>Wasserwerte!$I$3</f>
        <v>10</v>
      </c>
      <c r="G50" s="51">
        <f>Wasserwerte!$I$3</f>
        <v>10</v>
      </c>
      <c r="H50" s="51">
        <f>Wasserwerte!$I$3</f>
        <v>10</v>
      </c>
      <c r="I50" s="51">
        <f>Wasserwerte!$I$3</f>
        <v>10</v>
      </c>
      <c r="J50" s="51">
        <f>Wasserwerte!$I$3</f>
        <v>10</v>
      </c>
      <c r="K50" s="51">
        <f>Wasserwerte!$I$3</f>
        <v>10</v>
      </c>
      <c r="L50" s="51">
        <f>Wasserwerte!$I$3</f>
        <v>10</v>
      </c>
      <c r="M50" s="51">
        <f>Wasserwerte!$I$3</f>
        <v>10</v>
      </c>
      <c r="N50" s="51">
        <f>Wasserwerte!$I$3</f>
        <v>10</v>
      </c>
      <c r="O50" s="51">
        <f>Wasserwerte!$I$3</f>
        <v>10</v>
      </c>
      <c r="P50" s="51">
        <f>Wasserwerte!$I$3</f>
        <v>10</v>
      </c>
      <c r="Q50" s="51">
        <f>Wasserwerte!$I$3</f>
        <v>10</v>
      </c>
      <c r="R50" s="51">
        <f>Wasserwerte!$I$3</f>
        <v>10</v>
      </c>
      <c r="S50" s="51">
        <f>Wasserwerte!$I$3</f>
        <v>10</v>
      </c>
      <c r="T50" s="51">
        <f>Wasserwerte!$I$3</f>
        <v>10</v>
      </c>
      <c r="U50" s="51">
        <f>Wasserwerte!$I$3</f>
        <v>10</v>
      </c>
      <c r="V50" s="51">
        <f>Wasserwerte!$I$3</f>
        <v>10</v>
      </c>
      <c r="AG50" s="9"/>
      <c r="AH50" s="9"/>
      <c r="AI50" s="9"/>
      <c r="AJ50" s="9"/>
    </row>
    <row r="51" spans="2:53" x14ac:dyDescent="0.25">
      <c r="B51" s="165" t="s">
        <v>77</v>
      </c>
      <c r="C51" s="165"/>
      <c r="D51" s="165"/>
      <c r="E51" s="165"/>
      <c r="F51" s="91">
        <f>Wasserwerte!J55</f>
        <v>68</v>
      </c>
      <c r="G51" s="91">
        <f>Wasserwerte!K55</f>
        <v>66</v>
      </c>
      <c r="H51" s="91">
        <f>Wasserwerte!L55</f>
        <v>48</v>
      </c>
      <c r="I51" s="91">
        <f>Wasserwerte!M55</f>
        <v>68</v>
      </c>
      <c r="J51" s="91">
        <f>Wasserwerte!N55</f>
        <v>55</v>
      </c>
      <c r="K51" s="91">
        <f>Wasserwerte!O55</f>
        <v>48</v>
      </c>
      <c r="L51" s="91">
        <f>Wasserwerte!P55</f>
        <v>50</v>
      </c>
      <c r="M51" s="91">
        <f>Wasserwerte!Q55</f>
        <v>75.400000000000006</v>
      </c>
      <c r="N51" s="91">
        <f>Wasserwerte!R55</f>
        <v>49</v>
      </c>
      <c r="O51" s="91">
        <f>Wasserwerte!S55</f>
        <v>46</v>
      </c>
      <c r="P51" s="91">
        <f>Wasserwerte!T55</f>
        <v>48</v>
      </c>
      <c r="Q51" s="91">
        <f>Wasserwerte!U55</f>
        <v>47</v>
      </c>
      <c r="R51" s="91">
        <f>Wasserwerte!V55</f>
        <v>0</v>
      </c>
      <c r="S51" s="91">
        <f>Wasserwerte!W55</f>
        <v>140</v>
      </c>
      <c r="T51" s="91">
        <f>Wasserwerte!X55</f>
        <v>70</v>
      </c>
      <c r="U51" s="109">
        <f>Wasserwerte!Y55</f>
        <v>30</v>
      </c>
      <c r="V51" s="109">
        <f>Wasserwerte!Z55</f>
        <v>39</v>
      </c>
      <c r="AG51" s="9"/>
      <c r="AH51" s="9"/>
      <c r="AI51" s="9"/>
      <c r="AJ51" s="9"/>
    </row>
    <row r="52" spans="2:53" x14ac:dyDescent="0.25">
      <c r="B52" s="167" t="s">
        <v>78</v>
      </c>
      <c r="C52" s="167"/>
      <c r="D52" s="167"/>
      <c r="E52" s="167"/>
      <c r="F52" s="91">
        <f>Wasserwerte!J56</f>
        <v>73</v>
      </c>
      <c r="G52" s="91">
        <f>Wasserwerte!K56</f>
        <v>71</v>
      </c>
      <c r="H52" s="91">
        <f>Wasserwerte!L56</f>
        <v>51</v>
      </c>
      <c r="I52" s="91">
        <f>Wasserwerte!M56</f>
        <v>73</v>
      </c>
      <c r="J52" s="91">
        <f>Wasserwerte!N56</f>
        <v>60</v>
      </c>
      <c r="K52" s="91">
        <f>Wasserwerte!O56</f>
        <v>53</v>
      </c>
      <c r="L52" s="91">
        <f>Wasserwerte!P56</f>
        <v>55</v>
      </c>
      <c r="M52" s="91">
        <f>Wasserwerte!Q56</f>
        <v>80.400000000000006</v>
      </c>
      <c r="N52" s="91">
        <f>Wasserwerte!R56</f>
        <v>54</v>
      </c>
      <c r="O52" s="91">
        <f>Wasserwerte!S56</f>
        <v>51</v>
      </c>
      <c r="P52" s="91">
        <f>Wasserwerte!T56</f>
        <v>53</v>
      </c>
      <c r="Q52" s="91">
        <f>Wasserwerte!U56</f>
        <v>52</v>
      </c>
      <c r="R52" s="91">
        <f>Wasserwerte!V56</f>
        <v>0</v>
      </c>
      <c r="S52" s="91">
        <f>Wasserwerte!W56</f>
        <v>149</v>
      </c>
      <c r="T52" s="91">
        <f>Wasserwerte!X56</f>
        <v>76</v>
      </c>
      <c r="U52" s="109">
        <f>Wasserwerte!Y56</f>
        <v>36</v>
      </c>
      <c r="V52" s="109">
        <f>Wasserwerte!Z56</f>
        <v>44</v>
      </c>
      <c r="AG52" s="9"/>
      <c r="AH52" s="9"/>
      <c r="AI52" s="9"/>
      <c r="AJ52" s="9"/>
    </row>
    <row r="53" spans="2:53" x14ac:dyDescent="0.25">
      <c r="B53" s="231" t="s">
        <v>181</v>
      </c>
      <c r="C53" s="231"/>
      <c r="D53" s="231"/>
      <c r="E53" s="231"/>
      <c r="F53" s="231"/>
      <c r="G53" s="231"/>
      <c r="H53" s="231"/>
      <c r="I53" s="231"/>
      <c r="J53" s="231"/>
      <c r="K53" s="231"/>
      <c r="L53" s="231"/>
      <c r="M53" s="231"/>
      <c r="N53" s="231"/>
      <c r="O53" s="231"/>
      <c r="P53" s="231"/>
      <c r="Q53" s="231"/>
      <c r="R53" s="231"/>
      <c r="S53" s="231"/>
      <c r="T53" s="231"/>
      <c r="U53" s="231"/>
      <c r="V53" s="231"/>
      <c r="AG53" s="9"/>
      <c r="AH53" s="9"/>
      <c r="AI53" s="9"/>
      <c r="AJ53" s="9"/>
    </row>
    <row r="54" spans="2:53" x14ac:dyDescent="0.25">
      <c r="B54" s="167" t="s">
        <v>182</v>
      </c>
      <c r="C54" s="167"/>
      <c r="D54" s="167"/>
      <c r="E54" s="167"/>
      <c r="F54" s="51">
        <f>(((F15*F39)/F40)/F50)*F41</f>
        <v>0</v>
      </c>
      <c r="G54" s="51">
        <f>(((G15*G39)/G40)/G50)*G41</f>
        <v>0</v>
      </c>
      <c r="H54" s="51">
        <f t="shared" ref="H54:V54" si="19">(((H15*H39)/H40)/H50)*H41</f>
        <v>0</v>
      </c>
      <c r="I54" s="51">
        <f t="shared" si="19"/>
        <v>0</v>
      </c>
      <c r="J54" s="51">
        <f t="shared" si="19"/>
        <v>0</v>
      </c>
      <c r="K54" s="51">
        <f t="shared" si="19"/>
        <v>0</v>
      </c>
      <c r="L54" s="51">
        <f t="shared" si="19"/>
        <v>0</v>
      </c>
      <c r="M54" s="51">
        <f t="shared" si="19"/>
        <v>0</v>
      </c>
      <c r="N54" s="51">
        <f t="shared" si="19"/>
        <v>0</v>
      </c>
      <c r="O54" s="51">
        <f t="shared" si="19"/>
        <v>0</v>
      </c>
      <c r="P54" s="51">
        <f t="shared" si="19"/>
        <v>0</v>
      </c>
      <c r="Q54" s="51">
        <f t="shared" si="19"/>
        <v>0</v>
      </c>
      <c r="R54" s="51">
        <f t="shared" si="19"/>
        <v>0</v>
      </c>
      <c r="S54" s="51">
        <f t="shared" si="19"/>
        <v>0</v>
      </c>
      <c r="T54" s="51">
        <f t="shared" si="19"/>
        <v>0</v>
      </c>
      <c r="U54" s="51">
        <f t="shared" si="19"/>
        <v>0</v>
      </c>
      <c r="V54" s="51">
        <f t="shared" si="19"/>
        <v>0</v>
      </c>
      <c r="AG54" s="9"/>
      <c r="AH54" s="9"/>
      <c r="AI54" s="9"/>
      <c r="AJ54" s="9"/>
      <c r="AK54" s="9"/>
      <c r="AL54" s="9"/>
      <c r="AM54" s="9"/>
      <c r="AN54" s="9"/>
      <c r="AO54" s="9"/>
      <c r="AP54" s="9"/>
      <c r="AQ54" s="9"/>
      <c r="AR54" s="9"/>
      <c r="AS54" s="9"/>
      <c r="AT54" s="9"/>
      <c r="AU54" s="9"/>
      <c r="AV54" s="9"/>
      <c r="AW54" s="9"/>
      <c r="AX54" s="9"/>
      <c r="AY54" s="9"/>
      <c r="AZ54" s="9"/>
      <c r="BA54" s="9"/>
    </row>
    <row r="55" spans="2:53" x14ac:dyDescent="0.25">
      <c r="B55" s="165" t="s">
        <v>183</v>
      </c>
      <c r="C55" s="165"/>
      <c r="D55" s="165"/>
      <c r="E55" s="165"/>
      <c r="F55" s="49">
        <f t="shared" ref="F55:V55" si="20">(((F16*F39)/F40)/F50)*F42</f>
        <v>0</v>
      </c>
      <c r="G55" s="49">
        <f t="shared" si="20"/>
        <v>0</v>
      </c>
      <c r="H55" s="49">
        <f t="shared" si="20"/>
        <v>0</v>
      </c>
      <c r="I55" s="49">
        <f t="shared" si="20"/>
        <v>0</v>
      </c>
      <c r="J55" s="49">
        <f t="shared" si="20"/>
        <v>0</v>
      </c>
      <c r="K55" s="49">
        <f t="shared" si="20"/>
        <v>0</v>
      </c>
      <c r="L55" s="49">
        <f t="shared" si="20"/>
        <v>0</v>
      </c>
      <c r="M55" s="49">
        <f t="shared" si="20"/>
        <v>0</v>
      </c>
      <c r="N55" s="49">
        <f t="shared" si="20"/>
        <v>0</v>
      </c>
      <c r="O55" s="49">
        <f t="shared" si="20"/>
        <v>0</v>
      </c>
      <c r="P55" s="49">
        <f t="shared" si="20"/>
        <v>0</v>
      </c>
      <c r="Q55" s="49">
        <f t="shared" si="20"/>
        <v>0</v>
      </c>
      <c r="R55" s="49">
        <f t="shared" si="20"/>
        <v>0</v>
      </c>
      <c r="S55" s="49">
        <f t="shared" si="20"/>
        <v>0</v>
      </c>
      <c r="T55" s="49">
        <f t="shared" si="20"/>
        <v>0</v>
      </c>
      <c r="U55" s="49">
        <f t="shared" si="20"/>
        <v>0</v>
      </c>
      <c r="V55" s="49">
        <f t="shared" si="20"/>
        <v>0</v>
      </c>
      <c r="AG55" s="9"/>
      <c r="AH55" s="9"/>
      <c r="AI55" s="9"/>
      <c r="AJ55" s="9"/>
    </row>
    <row r="56" spans="2:53" x14ac:dyDescent="0.25">
      <c r="B56" s="167" t="s">
        <v>184</v>
      </c>
      <c r="C56" s="167"/>
      <c r="D56" s="167"/>
      <c r="E56" s="167"/>
      <c r="F56" s="51">
        <f t="shared" ref="F56:V56" si="21">(((F17*F39)/F40)/F50)*F43</f>
        <v>0</v>
      </c>
      <c r="G56" s="51">
        <f t="shared" si="21"/>
        <v>0</v>
      </c>
      <c r="H56" s="51">
        <f t="shared" si="21"/>
        <v>0</v>
      </c>
      <c r="I56" s="51">
        <f t="shared" si="21"/>
        <v>0</v>
      </c>
      <c r="J56" s="51">
        <f t="shared" si="21"/>
        <v>0</v>
      </c>
      <c r="K56" s="51">
        <f t="shared" si="21"/>
        <v>0</v>
      </c>
      <c r="L56" s="51">
        <f t="shared" si="21"/>
        <v>0</v>
      </c>
      <c r="M56" s="51">
        <f t="shared" si="21"/>
        <v>0</v>
      </c>
      <c r="N56" s="51">
        <f t="shared" si="21"/>
        <v>0</v>
      </c>
      <c r="O56" s="51">
        <f t="shared" si="21"/>
        <v>0</v>
      </c>
      <c r="P56" s="51">
        <f t="shared" si="21"/>
        <v>0</v>
      </c>
      <c r="Q56" s="51">
        <f t="shared" si="21"/>
        <v>0</v>
      </c>
      <c r="R56" s="51">
        <f t="shared" si="21"/>
        <v>0</v>
      </c>
      <c r="S56" s="51">
        <f t="shared" si="21"/>
        <v>0</v>
      </c>
      <c r="T56" s="51">
        <f t="shared" si="21"/>
        <v>0</v>
      </c>
      <c r="U56" s="51">
        <f t="shared" si="21"/>
        <v>0</v>
      </c>
      <c r="V56" s="51">
        <f t="shared" si="21"/>
        <v>0</v>
      </c>
      <c r="AG56" s="9"/>
      <c r="AH56" s="9"/>
      <c r="AI56" s="9"/>
      <c r="AJ56" s="9"/>
    </row>
    <row r="57" spans="2:53" x14ac:dyDescent="0.25">
      <c r="B57" s="165" t="s">
        <v>185</v>
      </c>
      <c r="C57" s="165"/>
      <c r="D57" s="165"/>
      <c r="E57" s="165"/>
      <c r="F57" s="49">
        <f t="shared" ref="F57:V57" si="22">(((F18*F39)/F40)/F50)*F44</f>
        <v>0</v>
      </c>
      <c r="G57" s="49">
        <f t="shared" si="22"/>
        <v>0</v>
      </c>
      <c r="H57" s="49">
        <f t="shared" si="22"/>
        <v>0</v>
      </c>
      <c r="I57" s="49">
        <f t="shared" si="22"/>
        <v>0</v>
      </c>
      <c r="J57" s="49">
        <f t="shared" si="22"/>
        <v>0</v>
      </c>
      <c r="K57" s="49">
        <f t="shared" si="22"/>
        <v>0</v>
      </c>
      <c r="L57" s="49">
        <f t="shared" si="22"/>
        <v>0</v>
      </c>
      <c r="M57" s="49">
        <f t="shared" si="22"/>
        <v>0</v>
      </c>
      <c r="N57" s="49">
        <f t="shared" si="22"/>
        <v>0</v>
      </c>
      <c r="O57" s="49">
        <f t="shared" si="22"/>
        <v>0</v>
      </c>
      <c r="P57" s="49">
        <f t="shared" si="22"/>
        <v>0</v>
      </c>
      <c r="Q57" s="49">
        <f t="shared" si="22"/>
        <v>0</v>
      </c>
      <c r="R57" s="49">
        <f t="shared" si="22"/>
        <v>0</v>
      </c>
      <c r="S57" s="49">
        <f t="shared" si="22"/>
        <v>0</v>
      </c>
      <c r="T57" s="49">
        <f t="shared" si="22"/>
        <v>0</v>
      </c>
      <c r="U57" s="49">
        <f t="shared" si="22"/>
        <v>0</v>
      </c>
      <c r="V57" s="49">
        <f t="shared" si="22"/>
        <v>0</v>
      </c>
      <c r="AG57" s="9"/>
      <c r="AH57" s="9"/>
      <c r="AI57" s="9"/>
      <c r="AJ57" s="9"/>
    </row>
    <row r="58" spans="2:53" x14ac:dyDescent="0.25">
      <c r="B58" s="167" t="s">
        <v>186</v>
      </c>
      <c r="C58" s="167"/>
      <c r="D58" s="167"/>
      <c r="E58" s="167"/>
      <c r="F58" s="51">
        <f t="shared" ref="F58:V58" si="23">(((F19*F39)/F40)/F50)*F45</f>
        <v>0</v>
      </c>
      <c r="G58" s="51">
        <f t="shared" si="23"/>
        <v>0</v>
      </c>
      <c r="H58" s="51">
        <f t="shared" si="23"/>
        <v>0</v>
      </c>
      <c r="I58" s="51">
        <f t="shared" si="23"/>
        <v>0</v>
      </c>
      <c r="J58" s="51">
        <f t="shared" si="23"/>
        <v>0</v>
      </c>
      <c r="K58" s="51">
        <f t="shared" si="23"/>
        <v>0</v>
      </c>
      <c r="L58" s="51">
        <f t="shared" si="23"/>
        <v>0</v>
      </c>
      <c r="M58" s="51">
        <f t="shared" si="23"/>
        <v>0</v>
      </c>
      <c r="N58" s="51">
        <f t="shared" si="23"/>
        <v>0</v>
      </c>
      <c r="O58" s="51">
        <f t="shared" si="23"/>
        <v>0</v>
      </c>
      <c r="P58" s="51">
        <f t="shared" si="23"/>
        <v>0</v>
      </c>
      <c r="Q58" s="51">
        <f t="shared" si="23"/>
        <v>0</v>
      </c>
      <c r="R58" s="51">
        <f t="shared" si="23"/>
        <v>0</v>
      </c>
      <c r="S58" s="51">
        <f t="shared" si="23"/>
        <v>0</v>
      </c>
      <c r="T58" s="51">
        <f t="shared" si="23"/>
        <v>0</v>
      </c>
      <c r="U58" s="51">
        <f t="shared" si="23"/>
        <v>0</v>
      </c>
      <c r="V58" s="51">
        <f t="shared" si="23"/>
        <v>0</v>
      </c>
      <c r="AG58" s="9"/>
      <c r="AH58" s="9"/>
      <c r="AI58" s="9"/>
      <c r="AJ58" s="9"/>
    </row>
    <row r="59" spans="2:53" x14ac:dyDescent="0.25">
      <c r="B59" s="165" t="s">
        <v>187</v>
      </c>
      <c r="C59" s="165"/>
      <c r="D59" s="165"/>
      <c r="E59" s="165"/>
      <c r="F59" s="49">
        <f t="shared" ref="F59:V59" si="24">(((F20*F39)/F40)/F50)*F46</f>
        <v>0</v>
      </c>
      <c r="G59" s="49">
        <f t="shared" si="24"/>
        <v>0</v>
      </c>
      <c r="H59" s="49">
        <f t="shared" si="24"/>
        <v>0</v>
      </c>
      <c r="I59" s="49">
        <f t="shared" si="24"/>
        <v>0</v>
      </c>
      <c r="J59" s="49">
        <f t="shared" si="24"/>
        <v>0</v>
      </c>
      <c r="K59" s="49">
        <f t="shared" si="24"/>
        <v>0</v>
      </c>
      <c r="L59" s="49">
        <f t="shared" si="24"/>
        <v>0</v>
      </c>
      <c r="M59" s="49">
        <f t="shared" si="24"/>
        <v>0</v>
      </c>
      <c r="N59" s="49">
        <f t="shared" si="24"/>
        <v>0</v>
      </c>
      <c r="O59" s="49">
        <f t="shared" si="24"/>
        <v>0</v>
      </c>
      <c r="P59" s="49">
        <f t="shared" si="24"/>
        <v>0</v>
      </c>
      <c r="Q59" s="49">
        <f t="shared" si="24"/>
        <v>0</v>
      </c>
      <c r="R59" s="49">
        <f t="shared" si="24"/>
        <v>0</v>
      </c>
      <c r="S59" s="49">
        <f t="shared" si="24"/>
        <v>0</v>
      </c>
      <c r="T59" s="49">
        <f t="shared" si="24"/>
        <v>0</v>
      </c>
      <c r="U59" s="49">
        <f t="shared" si="24"/>
        <v>0</v>
      </c>
      <c r="V59" s="49">
        <f t="shared" si="24"/>
        <v>0</v>
      </c>
      <c r="AG59" s="9"/>
      <c r="AH59" s="9"/>
      <c r="AI59" s="9"/>
      <c r="AJ59" s="9"/>
    </row>
    <row r="60" spans="2:53" x14ac:dyDescent="0.25">
      <c r="B60" s="167" t="s">
        <v>188</v>
      </c>
      <c r="C60" s="167"/>
      <c r="D60" s="167"/>
      <c r="E60" s="167"/>
      <c r="F60" s="51">
        <f t="shared" ref="F60:V60" si="25">(((F21*F39)/F40)/F50)*F47</f>
        <v>0</v>
      </c>
      <c r="G60" s="51">
        <f t="shared" si="25"/>
        <v>0</v>
      </c>
      <c r="H60" s="51">
        <f t="shared" si="25"/>
        <v>0</v>
      </c>
      <c r="I60" s="51">
        <f t="shared" si="25"/>
        <v>0</v>
      </c>
      <c r="J60" s="51">
        <f t="shared" si="25"/>
        <v>0</v>
      </c>
      <c r="K60" s="51">
        <f t="shared" si="25"/>
        <v>0</v>
      </c>
      <c r="L60" s="51">
        <f t="shared" si="25"/>
        <v>0</v>
      </c>
      <c r="M60" s="51">
        <f t="shared" si="25"/>
        <v>0</v>
      </c>
      <c r="N60" s="51">
        <f t="shared" si="25"/>
        <v>0</v>
      </c>
      <c r="O60" s="51">
        <f t="shared" si="25"/>
        <v>0</v>
      </c>
      <c r="P60" s="51">
        <f t="shared" si="25"/>
        <v>0</v>
      </c>
      <c r="Q60" s="51">
        <f t="shared" si="25"/>
        <v>0</v>
      </c>
      <c r="R60" s="51">
        <f t="shared" si="25"/>
        <v>0</v>
      </c>
      <c r="S60" s="51">
        <f t="shared" si="25"/>
        <v>0</v>
      </c>
      <c r="T60" s="51">
        <f t="shared" si="25"/>
        <v>0</v>
      </c>
      <c r="U60" s="51">
        <f t="shared" si="25"/>
        <v>0</v>
      </c>
      <c r="V60" s="51">
        <f t="shared" si="25"/>
        <v>0</v>
      </c>
      <c r="AG60" s="9"/>
      <c r="AH60" s="9"/>
      <c r="AI60" s="9"/>
      <c r="AJ60" s="9"/>
    </row>
    <row r="61" spans="2:53" x14ac:dyDescent="0.25">
      <c r="B61" s="165" t="s">
        <v>189</v>
      </c>
      <c r="C61" s="165"/>
      <c r="D61" s="165"/>
      <c r="E61" s="165"/>
      <c r="F61" s="49">
        <f t="shared" ref="F61:V61" si="26">(((F22*F39)/F40)/F50)*F48</f>
        <v>0</v>
      </c>
      <c r="G61" s="49">
        <f t="shared" si="26"/>
        <v>0</v>
      </c>
      <c r="H61" s="49">
        <f t="shared" si="26"/>
        <v>0</v>
      </c>
      <c r="I61" s="49">
        <f t="shared" si="26"/>
        <v>0</v>
      </c>
      <c r="J61" s="49">
        <f t="shared" si="26"/>
        <v>0</v>
      </c>
      <c r="K61" s="49">
        <f t="shared" si="26"/>
        <v>0</v>
      </c>
      <c r="L61" s="49">
        <f t="shared" si="26"/>
        <v>0</v>
      </c>
      <c r="M61" s="49">
        <f t="shared" si="26"/>
        <v>0</v>
      </c>
      <c r="N61" s="49">
        <f t="shared" si="26"/>
        <v>0</v>
      </c>
      <c r="O61" s="49">
        <f t="shared" si="26"/>
        <v>0</v>
      </c>
      <c r="P61" s="49">
        <f t="shared" si="26"/>
        <v>0</v>
      </c>
      <c r="Q61" s="49">
        <f t="shared" si="26"/>
        <v>0</v>
      </c>
      <c r="R61" s="49">
        <f t="shared" si="26"/>
        <v>0</v>
      </c>
      <c r="S61" s="49">
        <f t="shared" si="26"/>
        <v>0</v>
      </c>
      <c r="T61" s="49">
        <f t="shared" si="26"/>
        <v>0</v>
      </c>
      <c r="U61" s="49">
        <f t="shared" si="26"/>
        <v>0</v>
      </c>
      <c r="V61" s="49">
        <f t="shared" si="26"/>
        <v>0</v>
      </c>
      <c r="AG61" s="9"/>
      <c r="AH61" s="9"/>
      <c r="AI61" s="9"/>
      <c r="AJ61" s="9"/>
    </row>
    <row r="62" spans="2:53" x14ac:dyDescent="0.25">
      <c r="B62" s="167" t="s">
        <v>190</v>
      </c>
      <c r="C62" s="167"/>
      <c r="D62" s="167"/>
      <c r="E62" s="167"/>
      <c r="F62" s="51">
        <f t="shared" ref="F62:V62" si="27">(((F23*F39)/F40)/F50)*F49</f>
        <v>0</v>
      </c>
      <c r="G62" s="51">
        <f t="shared" si="27"/>
        <v>0</v>
      </c>
      <c r="H62" s="51">
        <f t="shared" si="27"/>
        <v>0</v>
      </c>
      <c r="I62" s="51">
        <f t="shared" si="27"/>
        <v>0</v>
      </c>
      <c r="J62" s="51">
        <f t="shared" si="27"/>
        <v>0</v>
      </c>
      <c r="K62" s="51">
        <f t="shared" si="27"/>
        <v>0</v>
      </c>
      <c r="L62" s="51">
        <f t="shared" si="27"/>
        <v>0</v>
      </c>
      <c r="M62" s="51">
        <f t="shared" si="27"/>
        <v>0</v>
      </c>
      <c r="N62" s="51">
        <f t="shared" si="27"/>
        <v>0</v>
      </c>
      <c r="O62" s="51">
        <f t="shared" si="27"/>
        <v>0</v>
      </c>
      <c r="P62" s="51">
        <f t="shared" si="27"/>
        <v>0</v>
      </c>
      <c r="Q62" s="51">
        <f t="shared" si="27"/>
        <v>0</v>
      </c>
      <c r="R62" s="51">
        <f t="shared" si="27"/>
        <v>0</v>
      </c>
      <c r="S62" s="51">
        <f t="shared" si="27"/>
        <v>0</v>
      </c>
      <c r="T62" s="51">
        <f t="shared" si="27"/>
        <v>0</v>
      </c>
      <c r="U62" s="51">
        <f t="shared" si="27"/>
        <v>0</v>
      </c>
      <c r="V62" s="51">
        <f t="shared" si="27"/>
        <v>0</v>
      </c>
      <c r="AG62" s="9"/>
      <c r="AH62" s="9"/>
      <c r="AI62" s="9"/>
      <c r="AJ62" s="9"/>
    </row>
    <row r="63" spans="2:53" x14ac:dyDescent="0.25">
      <c r="B63" s="165" t="s">
        <v>191</v>
      </c>
      <c r="C63" s="165"/>
      <c r="D63" s="165"/>
      <c r="E63" s="165"/>
      <c r="F63" s="49">
        <f>SUM(F54:F62)</f>
        <v>0</v>
      </c>
      <c r="G63" s="49">
        <f t="shared" ref="G63:V63" si="28">SUM(G54:G62)</f>
        <v>0</v>
      </c>
      <c r="H63" s="49">
        <f t="shared" si="28"/>
        <v>0</v>
      </c>
      <c r="I63" s="49">
        <f t="shared" si="28"/>
        <v>0</v>
      </c>
      <c r="J63" s="49">
        <f t="shared" si="28"/>
        <v>0</v>
      </c>
      <c r="K63" s="49">
        <f t="shared" si="28"/>
        <v>0</v>
      </c>
      <c r="L63" s="49">
        <f t="shared" si="28"/>
        <v>0</v>
      </c>
      <c r="M63" s="49">
        <f t="shared" si="28"/>
        <v>0</v>
      </c>
      <c r="N63" s="49">
        <f t="shared" si="28"/>
        <v>0</v>
      </c>
      <c r="O63" s="49">
        <f t="shared" si="28"/>
        <v>0</v>
      </c>
      <c r="P63" s="49">
        <f t="shared" si="28"/>
        <v>0</v>
      </c>
      <c r="Q63" s="49">
        <f t="shared" si="28"/>
        <v>0</v>
      </c>
      <c r="R63" s="49">
        <f t="shared" si="28"/>
        <v>0</v>
      </c>
      <c r="S63" s="49">
        <f t="shared" si="28"/>
        <v>0</v>
      </c>
      <c r="T63" s="49">
        <f t="shared" si="28"/>
        <v>0</v>
      </c>
      <c r="U63" s="49">
        <f t="shared" si="28"/>
        <v>0</v>
      </c>
      <c r="V63" s="49">
        <f t="shared" si="28"/>
        <v>0</v>
      </c>
      <c r="AG63" s="9"/>
      <c r="AH63" s="9"/>
      <c r="AI63" s="9"/>
      <c r="AJ63" s="9"/>
    </row>
    <row r="64" spans="2:53" x14ac:dyDescent="0.25">
      <c r="B64" s="167" t="s">
        <v>79</v>
      </c>
      <c r="C64" s="167"/>
      <c r="D64" s="167"/>
      <c r="E64" s="167"/>
      <c r="F64" s="52">
        <f>F63*F51</f>
        <v>0</v>
      </c>
      <c r="G64" s="52">
        <f t="shared" ref="G64:V64" si="29">G63*G51</f>
        <v>0</v>
      </c>
      <c r="H64" s="52">
        <f t="shared" si="29"/>
        <v>0</v>
      </c>
      <c r="I64" s="52">
        <f t="shared" si="29"/>
        <v>0</v>
      </c>
      <c r="J64" s="52">
        <f t="shared" si="29"/>
        <v>0</v>
      </c>
      <c r="K64" s="52">
        <f t="shared" si="29"/>
        <v>0</v>
      </c>
      <c r="L64" s="52">
        <f t="shared" si="29"/>
        <v>0</v>
      </c>
      <c r="M64" s="52">
        <f t="shared" si="29"/>
        <v>0</v>
      </c>
      <c r="N64" s="52">
        <f t="shared" si="29"/>
        <v>0</v>
      </c>
      <c r="O64" s="52">
        <f t="shared" si="29"/>
        <v>0</v>
      </c>
      <c r="P64" s="52">
        <f t="shared" si="29"/>
        <v>0</v>
      </c>
      <c r="Q64" s="52">
        <f t="shared" si="29"/>
        <v>0</v>
      </c>
      <c r="R64" s="52">
        <f t="shared" si="29"/>
        <v>0</v>
      </c>
      <c r="S64" s="52">
        <f t="shared" si="29"/>
        <v>0</v>
      </c>
      <c r="T64" s="52">
        <f t="shared" si="29"/>
        <v>0</v>
      </c>
      <c r="U64" s="52">
        <f t="shared" si="29"/>
        <v>0</v>
      </c>
      <c r="V64" s="52">
        <f t="shared" si="29"/>
        <v>0</v>
      </c>
      <c r="AG64" s="9"/>
      <c r="AH64" s="9"/>
      <c r="AI64" s="9"/>
      <c r="AJ64" s="9"/>
    </row>
    <row r="65" spans="2:36" x14ac:dyDescent="0.25">
      <c r="B65" s="165" t="s">
        <v>80</v>
      </c>
      <c r="C65" s="165"/>
      <c r="D65" s="165"/>
      <c r="E65" s="165"/>
      <c r="F65" s="48">
        <f>F63*F52</f>
        <v>0</v>
      </c>
      <c r="G65" s="48">
        <f t="shared" ref="G65:V65" si="30">G63*G52</f>
        <v>0</v>
      </c>
      <c r="H65" s="48">
        <f t="shared" si="30"/>
        <v>0</v>
      </c>
      <c r="I65" s="48">
        <f t="shared" si="30"/>
        <v>0</v>
      </c>
      <c r="J65" s="48">
        <f t="shared" si="30"/>
        <v>0</v>
      </c>
      <c r="K65" s="48">
        <f t="shared" si="30"/>
        <v>0</v>
      </c>
      <c r="L65" s="48">
        <f t="shared" si="30"/>
        <v>0</v>
      </c>
      <c r="M65" s="48">
        <f t="shared" si="30"/>
        <v>0</v>
      </c>
      <c r="N65" s="48">
        <f t="shared" si="30"/>
        <v>0</v>
      </c>
      <c r="O65" s="48">
        <f t="shared" si="30"/>
        <v>0</v>
      </c>
      <c r="P65" s="48">
        <f t="shared" si="30"/>
        <v>0</v>
      </c>
      <c r="Q65" s="48">
        <f t="shared" si="30"/>
        <v>0</v>
      </c>
      <c r="R65" s="48">
        <f t="shared" si="30"/>
        <v>0</v>
      </c>
      <c r="S65" s="48">
        <f t="shared" si="30"/>
        <v>0</v>
      </c>
      <c r="T65" s="48">
        <f t="shared" si="30"/>
        <v>0</v>
      </c>
      <c r="U65" s="48">
        <f t="shared" si="30"/>
        <v>0</v>
      </c>
      <c r="V65" s="48">
        <f t="shared" si="30"/>
        <v>0</v>
      </c>
      <c r="AG65" s="9"/>
      <c r="AH65" s="9"/>
      <c r="AI65" s="9"/>
      <c r="AJ65" s="9"/>
    </row>
    <row r="66" spans="2:36" x14ac:dyDescent="0.25">
      <c r="B66" s="167" t="s">
        <v>328</v>
      </c>
      <c r="C66" s="167"/>
      <c r="D66" s="167"/>
      <c r="E66" s="167"/>
      <c r="F66" s="143">
        <f>F64*Wasserwerte!$S$16</f>
        <v>0</v>
      </c>
      <c r="G66" s="143">
        <f>G64*Wasserwerte!$S$16</f>
        <v>0</v>
      </c>
      <c r="H66" s="143">
        <f>H64*Wasserwerte!$S$16</f>
        <v>0</v>
      </c>
      <c r="I66" s="143">
        <f>I64*Wasserwerte!$S$16</f>
        <v>0</v>
      </c>
      <c r="J66" s="143">
        <f>J64*Wasserwerte!$S$16</f>
        <v>0</v>
      </c>
      <c r="K66" s="143">
        <f>K64*Wasserwerte!$S$16</f>
        <v>0</v>
      </c>
      <c r="L66" s="143">
        <f>L64*Wasserwerte!$S$16</f>
        <v>0</v>
      </c>
      <c r="M66" s="143">
        <f>M64*Wasserwerte!$S$16</f>
        <v>0</v>
      </c>
      <c r="N66" s="143">
        <f>N64*Wasserwerte!$S$16</f>
        <v>0</v>
      </c>
      <c r="O66" s="143">
        <f>O64*Wasserwerte!$S$16</f>
        <v>0</v>
      </c>
      <c r="P66" s="143">
        <f>P64*Wasserwerte!$S$16</f>
        <v>0</v>
      </c>
      <c r="Q66" s="143">
        <f>Q64*Wasserwerte!$S$16</f>
        <v>0</v>
      </c>
      <c r="R66" s="143">
        <f>R64*Wasserwerte!$S$16</f>
        <v>0</v>
      </c>
      <c r="S66" s="143">
        <f>S64*Wasserwerte!$S$16</f>
        <v>0</v>
      </c>
      <c r="T66" s="143">
        <f>T64*Wasserwerte!$S$16</f>
        <v>0</v>
      </c>
      <c r="U66" s="143">
        <f>U64*Wasserwerte!$S$16</f>
        <v>0</v>
      </c>
      <c r="V66" s="143">
        <f>V64*Wasserwerte!$S$16</f>
        <v>0</v>
      </c>
      <c r="AG66" s="9"/>
      <c r="AH66" s="9"/>
      <c r="AI66" s="9"/>
      <c r="AJ66" s="9"/>
    </row>
    <row r="67" spans="2:36" x14ac:dyDescent="0.25">
      <c r="B67" s="165" t="s">
        <v>329</v>
      </c>
      <c r="C67" s="165"/>
      <c r="D67" s="165"/>
      <c r="E67" s="165"/>
      <c r="F67" s="142">
        <f>F65*Wasserwerte!$S$16</f>
        <v>0</v>
      </c>
      <c r="G67" s="142">
        <f>G65*Wasserwerte!$S$16</f>
        <v>0</v>
      </c>
      <c r="H67" s="142">
        <f>H65*Wasserwerte!$S$16</f>
        <v>0</v>
      </c>
      <c r="I67" s="142">
        <f>I65*Wasserwerte!$S$16</f>
        <v>0</v>
      </c>
      <c r="J67" s="142">
        <f>J65*Wasserwerte!$S$16</f>
        <v>0</v>
      </c>
      <c r="K67" s="142">
        <f>K65*Wasserwerte!$S$16</f>
        <v>0</v>
      </c>
      <c r="L67" s="142">
        <f>L65*Wasserwerte!$S$16</f>
        <v>0</v>
      </c>
      <c r="M67" s="142">
        <f>M65*Wasserwerte!$S$16</f>
        <v>0</v>
      </c>
      <c r="N67" s="142">
        <f>N65*Wasserwerte!$S$16</f>
        <v>0</v>
      </c>
      <c r="O67" s="142">
        <f>O65*Wasserwerte!$S$16</f>
        <v>0</v>
      </c>
      <c r="P67" s="142">
        <f>P65*Wasserwerte!$S$16</f>
        <v>0</v>
      </c>
      <c r="Q67" s="142">
        <f>Q65*Wasserwerte!$S$16</f>
        <v>0</v>
      </c>
      <c r="R67" s="142">
        <f>R65*Wasserwerte!$S$16</f>
        <v>0</v>
      </c>
      <c r="S67" s="142">
        <f>S65*Wasserwerte!$S$16</f>
        <v>0</v>
      </c>
      <c r="T67" s="142">
        <f>T65*Wasserwerte!$S$16</f>
        <v>0</v>
      </c>
      <c r="U67" s="142">
        <f>U65*Wasserwerte!$S$16</f>
        <v>0</v>
      </c>
      <c r="V67" s="142">
        <f>V65*Wasserwerte!$S$16</f>
        <v>0</v>
      </c>
    </row>
  </sheetData>
  <mergeCells count="169">
    <mergeCell ref="A33:E33"/>
    <mergeCell ref="Z19:AA19"/>
    <mergeCell ref="B63:E63"/>
    <mergeCell ref="B53:V53"/>
    <mergeCell ref="B54:E54"/>
    <mergeCell ref="B56:E56"/>
    <mergeCell ref="B57:E57"/>
    <mergeCell ref="B58:E58"/>
    <mergeCell ref="B59:E59"/>
    <mergeCell ref="B60:E60"/>
    <mergeCell ref="B61:E61"/>
    <mergeCell ref="B62:E62"/>
    <mergeCell ref="B55:E55"/>
    <mergeCell ref="B42:E42"/>
    <mergeCell ref="B43:E43"/>
    <mergeCell ref="B44:E44"/>
    <mergeCell ref="B45:E45"/>
    <mergeCell ref="B46:E46"/>
    <mergeCell ref="B47:E47"/>
    <mergeCell ref="B48:E48"/>
    <mergeCell ref="B49:E49"/>
    <mergeCell ref="A24:E24"/>
    <mergeCell ref="A25:E25"/>
    <mergeCell ref="A26:E26"/>
    <mergeCell ref="A28:E29"/>
    <mergeCell ref="A32:E32"/>
    <mergeCell ref="F32:G32"/>
    <mergeCell ref="W31:X31"/>
    <mergeCell ref="W29:AA29"/>
    <mergeCell ref="W30:X30"/>
    <mergeCell ref="Z30:AA30"/>
    <mergeCell ref="U28:U29"/>
    <mergeCell ref="V28:V29"/>
    <mergeCell ref="A30:E30"/>
    <mergeCell ref="A31:E31"/>
    <mergeCell ref="F28:G29"/>
    <mergeCell ref="F30:G30"/>
    <mergeCell ref="F31:G31"/>
    <mergeCell ref="P28:P29"/>
    <mergeCell ref="Q28:Q29"/>
    <mergeCell ref="AA1:AA2"/>
    <mergeCell ref="AB1:AB2"/>
    <mergeCell ref="A3:C3"/>
    <mergeCell ref="A4:C4"/>
    <mergeCell ref="A5:C5"/>
    <mergeCell ref="Y1:Y2"/>
    <mergeCell ref="Z1:Z2"/>
    <mergeCell ref="N1:N2"/>
    <mergeCell ref="A1:C2"/>
    <mergeCell ref="D1:D2"/>
    <mergeCell ref="E1:E2"/>
    <mergeCell ref="F1:F2"/>
    <mergeCell ref="G1:G2"/>
    <mergeCell ref="H1:H2"/>
    <mergeCell ref="V1:V2"/>
    <mergeCell ref="W1:W2"/>
    <mergeCell ref="X1:X2"/>
    <mergeCell ref="O1:O2"/>
    <mergeCell ref="P1:P2"/>
    <mergeCell ref="Q1:Q2"/>
    <mergeCell ref="R1:R2"/>
    <mergeCell ref="S1:S2"/>
    <mergeCell ref="T1:T2"/>
    <mergeCell ref="G13:G14"/>
    <mergeCell ref="A6:C6"/>
    <mergeCell ref="U1:U2"/>
    <mergeCell ref="I1:I2"/>
    <mergeCell ref="J1:J2"/>
    <mergeCell ref="K1:K2"/>
    <mergeCell ref="L1:L2"/>
    <mergeCell ref="M1:M2"/>
    <mergeCell ref="A7:C7"/>
    <mergeCell ref="A8:C8"/>
    <mergeCell ref="B52:E52"/>
    <mergeCell ref="A9:C9"/>
    <mergeCell ref="A10:C10"/>
    <mergeCell ref="A11:C11"/>
    <mergeCell ref="A18:D18"/>
    <mergeCell ref="Q13:Q14"/>
    <mergeCell ref="R13:R14"/>
    <mergeCell ref="S13:S14"/>
    <mergeCell ref="T13:T14"/>
    <mergeCell ref="A34:E34"/>
    <mergeCell ref="F34:G34"/>
    <mergeCell ref="A15:D15"/>
    <mergeCell ref="A16:D16"/>
    <mergeCell ref="A17:D17"/>
    <mergeCell ref="J13:J14"/>
    <mergeCell ref="A13:D14"/>
    <mergeCell ref="K13:K14"/>
    <mergeCell ref="L13:L14"/>
    <mergeCell ref="M13:M14"/>
    <mergeCell ref="N13:N14"/>
    <mergeCell ref="O13:O14"/>
    <mergeCell ref="P13:P14"/>
    <mergeCell ref="E13:E14"/>
    <mergeCell ref="F13:F14"/>
    <mergeCell ref="A27:E27"/>
    <mergeCell ref="B65:E65"/>
    <mergeCell ref="V37:V38"/>
    <mergeCell ref="B40:E40"/>
    <mergeCell ref="B41:E41"/>
    <mergeCell ref="B39:E39"/>
    <mergeCell ref="B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B50:E50"/>
    <mergeCell ref="A23:D23"/>
    <mergeCell ref="B64:E64"/>
    <mergeCell ref="Z31:AA31"/>
    <mergeCell ref="W32:AA32"/>
    <mergeCell ref="W33:X33"/>
    <mergeCell ref="Z33:AA33"/>
    <mergeCell ref="W34:X34"/>
    <mergeCell ref="Z34:AA34"/>
    <mergeCell ref="W13:AA13"/>
    <mergeCell ref="W14:X14"/>
    <mergeCell ref="U13:U14"/>
    <mergeCell ref="V13:V14"/>
    <mergeCell ref="W15:X15"/>
    <mergeCell ref="W16:X16"/>
    <mergeCell ref="W17:X17"/>
    <mergeCell ref="H13:H14"/>
    <mergeCell ref="I13:I14"/>
    <mergeCell ref="R28:R29"/>
    <mergeCell ref="F33:G33"/>
    <mergeCell ref="S28:S29"/>
    <mergeCell ref="T28:T29"/>
    <mergeCell ref="K28:K29"/>
    <mergeCell ref="L28:L29"/>
    <mergeCell ref="M28:M29"/>
    <mergeCell ref="B66:E66"/>
    <mergeCell ref="B67:E67"/>
    <mergeCell ref="W27:X27"/>
    <mergeCell ref="W28:X28"/>
    <mergeCell ref="A12:AB12"/>
    <mergeCell ref="W24:X24"/>
    <mergeCell ref="W25:X25"/>
    <mergeCell ref="W26:X26"/>
    <mergeCell ref="B51:E51"/>
    <mergeCell ref="N28:N29"/>
    <mergeCell ref="O28:O29"/>
    <mergeCell ref="H28:H29"/>
    <mergeCell ref="I28:I29"/>
    <mergeCell ref="J28:J29"/>
    <mergeCell ref="W19:X19"/>
    <mergeCell ref="W18:X18"/>
    <mergeCell ref="W20:X20"/>
    <mergeCell ref="W21:X21"/>
    <mergeCell ref="W22:X22"/>
    <mergeCell ref="W23:X23"/>
    <mergeCell ref="A19:D19"/>
    <mergeCell ref="A20:D20"/>
    <mergeCell ref="A21:D21"/>
    <mergeCell ref="A22:D22"/>
  </mergeCells>
  <pageMargins left="0.7" right="0.7" top="0.78740157499999996" bottom="0.78740157499999996" header="0.3" footer="0.3"/>
  <pageSetup paperSize="9" orientation="portrait" r:id="rId1"/>
  <ignoredErrors>
    <ignoredError sqref="F1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4" r:id="rId4" name="Drop Down 10">
              <controlPr defaultSize="0" autoLine="0" autoPict="0">
                <anchor moveWithCells="1">
                  <from>
                    <xdr:col>0</xdr:col>
                    <xdr:colOff>0</xdr:colOff>
                    <xdr:row>1</xdr:row>
                    <xdr:rowOff>180975</xdr:rowOff>
                  </from>
                  <to>
                    <xdr:col>2</xdr:col>
                    <xdr:colOff>847725</xdr:colOff>
                    <xdr:row>3</xdr:row>
                    <xdr:rowOff>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0</xdr:col>
                    <xdr:colOff>0</xdr:colOff>
                    <xdr:row>2</xdr:row>
                    <xdr:rowOff>180975</xdr:rowOff>
                  </from>
                  <to>
                    <xdr:col>2</xdr:col>
                    <xdr:colOff>847725</xdr:colOff>
                    <xdr:row>4</xdr:row>
                    <xdr:rowOff>0</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0</xdr:col>
                    <xdr:colOff>0</xdr:colOff>
                    <xdr:row>3</xdr:row>
                    <xdr:rowOff>180975</xdr:rowOff>
                  </from>
                  <to>
                    <xdr:col>2</xdr:col>
                    <xdr:colOff>847725</xdr:colOff>
                    <xdr:row>5</xdr:row>
                    <xdr:rowOff>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0</xdr:col>
                    <xdr:colOff>0</xdr:colOff>
                    <xdr:row>5</xdr:row>
                    <xdr:rowOff>0</xdr:rowOff>
                  </from>
                  <to>
                    <xdr:col>2</xdr:col>
                    <xdr:colOff>847725</xdr:colOff>
                    <xdr:row>6</xdr:row>
                    <xdr:rowOff>9525</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0</xdr:col>
                    <xdr:colOff>0</xdr:colOff>
                    <xdr:row>5</xdr:row>
                    <xdr:rowOff>180975</xdr:rowOff>
                  </from>
                  <to>
                    <xdr:col>2</xdr:col>
                    <xdr:colOff>847725</xdr:colOff>
                    <xdr:row>7</xdr:row>
                    <xdr:rowOff>0</xdr:rowOff>
                  </to>
                </anchor>
              </controlPr>
            </control>
          </mc:Choice>
        </mc:AlternateContent>
        <mc:AlternateContent xmlns:mc="http://schemas.openxmlformats.org/markup-compatibility/2006">
          <mc:Choice Requires="x14">
            <control shapeId="1039" r:id="rId9" name="Drop Down 15">
              <controlPr defaultSize="0" autoLine="0" autoPict="0">
                <anchor moveWithCells="1">
                  <from>
                    <xdr:col>0</xdr:col>
                    <xdr:colOff>0</xdr:colOff>
                    <xdr:row>7</xdr:row>
                    <xdr:rowOff>180975</xdr:rowOff>
                  </from>
                  <to>
                    <xdr:col>2</xdr:col>
                    <xdr:colOff>847725</xdr:colOff>
                    <xdr:row>9</xdr:row>
                    <xdr:rowOff>0</xdr:rowOff>
                  </to>
                </anchor>
              </controlPr>
            </control>
          </mc:Choice>
        </mc:AlternateContent>
        <mc:AlternateContent xmlns:mc="http://schemas.openxmlformats.org/markup-compatibility/2006">
          <mc:Choice Requires="x14">
            <control shapeId="1040" r:id="rId10" name="Drop Down 16">
              <controlPr defaultSize="0" autoLine="0" autoPict="0">
                <anchor moveWithCells="1">
                  <from>
                    <xdr:col>0</xdr:col>
                    <xdr:colOff>0</xdr:colOff>
                    <xdr:row>9</xdr:row>
                    <xdr:rowOff>0</xdr:rowOff>
                  </from>
                  <to>
                    <xdr:col>2</xdr:col>
                    <xdr:colOff>847725</xdr:colOff>
                    <xdr:row>10</xdr:row>
                    <xdr:rowOff>9525</xdr:rowOff>
                  </to>
                </anchor>
              </controlPr>
            </control>
          </mc:Choice>
        </mc:AlternateContent>
        <mc:AlternateContent xmlns:mc="http://schemas.openxmlformats.org/markup-compatibility/2006">
          <mc:Choice Requires="x14">
            <control shapeId="1041" r:id="rId11" name="Drop Down 17">
              <controlPr defaultSize="0" autoLine="0" autoPict="0">
                <anchor moveWithCells="1">
                  <from>
                    <xdr:col>0</xdr:col>
                    <xdr:colOff>0</xdr:colOff>
                    <xdr:row>9</xdr:row>
                    <xdr:rowOff>180975</xdr:rowOff>
                  </from>
                  <to>
                    <xdr:col>2</xdr:col>
                    <xdr:colOff>847725</xdr:colOff>
                    <xdr:row>11</xdr:row>
                    <xdr:rowOff>0</xdr:rowOff>
                  </to>
                </anchor>
              </controlPr>
            </control>
          </mc:Choice>
        </mc:AlternateContent>
        <mc:AlternateContent xmlns:mc="http://schemas.openxmlformats.org/markup-compatibility/2006">
          <mc:Choice Requires="x14">
            <control shapeId="1042" r:id="rId12" name="Drop Down 18">
              <controlPr defaultSize="0" autoLine="0" autoPict="0">
                <anchor moveWithCells="1">
                  <from>
                    <xdr:col>0</xdr:col>
                    <xdr:colOff>0</xdr:colOff>
                    <xdr:row>7</xdr:row>
                    <xdr:rowOff>0</xdr:rowOff>
                  </from>
                  <to>
                    <xdr:col>2</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5BF1-14B7-45CE-AA84-E6DF0FD21822}">
  <dimension ref="A1:AA120"/>
  <sheetViews>
    <sheetView zoomScale="90" zoomScaleNormal="90" workbookViewId="0">
      <selection activeCell="B2" sqref="B2"/>
    </sheetView>
  </sheetViews>
  <sheetFormatPr baseColWidth="10" defaultRowHeight="15" x14ac:dyDescent="0.25"/>
  <cols>
    <col min="1" max="1" width="6" customWidth="1"/>
    <col min="2" max="2" width="34.140625" customWidth="1"/>
    <col min="3" max="3" width="7.85546875" customWidth="1"/>
    <col min="4" max="4" width="8.7109375" customWidth="1"/>
    <col min="5" max="5" width="9.85546875" customWidth="1"/>
    <col min="6" max="6" width="10" customWidth="1"/>
    <col min="7" max="7" width="8.140625" customWidth="1"/>
    <col min="8" max="8" width="7.140625" customWidth="1"/>
    <col min="9" max="9" width="7.28515625" customWidth="1"/>
    <col min="10" max="10" width="8.5703125" customWidth="1"/>
    <col min="11" max="11" width="8.42578125" customWidth="1"/>
    <col min="12" max="12" width="7" customWidth="1"/>
    <col min="13" max="14" width="7.140625" customWidth="1"/>
    <col min="15" max="15" width="7" customWidth="1"/>
    <col min="16" max="20" width="7.140625" customWidth="1"/>
    <col min="21" max="21" width="7.7109375" customWidth="1"/>
    <col min="22" max="22" width="8.42578125" customWidth="1"/>
    <col min="23" max="23" width="8.7109375" customWidth="1"/>
    <col min="24" max="24" width="7.28515625" customWidth="1"/>
    <col min="25" max="25" width="9.7109375" customWidth="1"/>
    <col min="26" max="26" width="31.140625" customWidth="1"/>
    <col min="27" max="27" width="22.28515625" customWidth="1"/>
  </cols>
  <sheetData>
    <row r="1" spans="1:27" ht="21.75" customHeight="1" x14ac:dyDescent="0.25">
      <c r="A1" s="26" t="s">
        <v>154</v>
      </c>
      <c r="B1" s="26" t="s">
        <v>123</v>
      </c>
      <c r="C1" s="26" t="s">
        <v>122</v>
      </c>
      <c r="D1" s="26" t="s">
        <v>124</v>
      </c>
      <c r="E1" s="26" t="s">
        <v>0</v>
      </c>
      <c r="F1" s="26" t="s">
        <v>1</v>
      </c>
      <c r="G1" s="26" t="s">
        <v>2</v>
      </c>
      <c r="H1" s="26" t="s">
        <v>3</v>
      </c>
      <c r="I1" s="26" t="s">
        <v>4</v>
      </c>
      <c r="J1" s="26" t="s">
        <v>5</v>
      </c>
      <c r="K1" s="26" t="s">
        <v>6</v>
      </c>
      <c r="L1" s="26" t="s">
        <v>7</v>
      </c>
      <c r="M1" s="26" t="s">
        <v>8</v>
      </c>
      <c r="N1" s="26" t="s">
        <v>9</v>
      </c>
      <c r="O1" s="26" t="s">
        <v>10</v>
      </c>
      <c r="P1" s="26" t="s">
        <v>11</v>
      </c>
      <c r="Q1" s="26" t="s">
        <v>12</v>
      </c>
      <c r="R1" s="26" t="s">
        <v>13</v>
      </c>
      <c r="S1" s="26" t="s">
        <v>14</v>
      </c>
      <c r="T1" s="26" t="s">
        <v>15</v>
      </c>
      <c r="U1" s="26" t="s">
        <v>16</v>
      </c>
      <c r="V1" s="26" t="s">
        <v>322</v>
      </c>
      <c r="W1" s="26" t="s">
        <v>323</v>
      </c>
      <c r="X1" s="26" t="s">
        <v>195</v>
      </c>
      <c r="Y1" s="26" t="s">
        <v>196</v>
      </c>
      <c r="Z1" s="54" t="s">
        <v>125</v>
      </c>
      <c r="AA1" s="26" t="s">
        <v>397</v>
      </c>
    </row>
    <row r="2" spans="1:27" x14ac:dyDescent="0.25">
      <c r="A2" s="28">
        <f t="shared" ref="A2:A33" si="0">ROW(A1)</f>
        <v>1</v>
      </c>
      <c r="B2" s="29" t="s">
        <v>126</v>
      </c>
      <c r="C2" s="28" t="s">
        <v>127</v>
      </c>
      <c r="D2" s="28">
        <v>0</v>
      </c>
      <c r="E2" s="31">
        <v>0</v>
      </c>
      <c r="F2" s="31">
        <v>0</v>
      </c>
      <c r="G2" s="31">
        <v>0</v>
      </c>
      <c r="H2" s="31">
        <v>0</v>
      </c>
      <c r="I2" s="31">
        <v>0</v>
      </c>
      <c r="J2" s="31">
        <v>0</v>
      </c>
      <c r="K2" s="31">
        <v>0</v>
      </c>
      <c r="L2" s="31">
        <v>0</v>
      </c>
      <c r="M2" s="33">
        <v>0</v>
      </c>
      <c r="N2" s="33">
        <v>0</v>
      </c>
      <c r="O2" s="33">
        <v>0</v>
      </c>
      <c r="P2" s="33">
        <v>0</v>
      </c>
      <c r="Q2" s="33">
        <v>0</v>
      </c>
      <c r="R2" s="33">
        <v>0</v>
      </c>
      <c r="S2" s="33">
        <v>0</v>
      </c>
      <c r="T2" s="31">
        <v>0</v>
      </c>
      <c r="U2" s="31">
        <v>0</v>
      </c>
      <c r="V2" s="28">
        <v>0</v>
      </c>
      <c r="W2" s="28">
        <v>0</v>
      </c>
      <c r="X2" s="28">
        <v>0</v>
      </c>
      <c r="Y2" s="28">
        <v>0</v>
      </c>
      <c r="Z2" s="55" t="s">
        <v>197</v>
      </c>
      <c r="AA2" s="28">
        <v>0</v>
      </c>
    </row>
    <row r="3" spans="1:27" x14ac:dyDescent="0.25">
      <c r="A3" s="22">
        <f t="shared" si="0"/>
        <v>2</v>
      </c>
      <c r="B3" s="23" t="s">
        <v>395</v>
      </c>
      <c r="C3" s="22" t="s">
        <v>129</v>
      </c>
      <c r="D3" s="22">
        <v>1</v>
      </c>
      <c r="E3" s="24">
        <v>0</v>
      </c>
      <c r="F3" s="24">
        <v>0</v>
      </c>
      <c r="G3" s="24">
        <v>0</v>
      </c>
      <c r="H3" s="24">
        <v>0</v>
      </c>
      <c r="I3" s="24">
        <v>0</v>
      </c>
      <c r="J3" s="24">
        <v>0</v>
      </c>
      <c r="K3" s="24">
        <v>0</v>
      </c>
      <c r="L3" s="24">
        <v>0</v>
      </c>
      <c r="M3" s="25">
        <v>0.13</v>
      </c>
      <c r="N3" s="25">
        <v>0</v>
      </c>
      <c r="O3" s="25">
        <v>0</v>
      </c>
      <c r="P3" s="25">
        <v>0</v>
      </c>
      <c r="Q3" s="25">
        <v>0</v>
      </c>
      <c r="R3" s="25">
        <v>0</v>
      </c>
      <c r="S3" s="25">
        <v>0</v>
      </c>
      <c r="T3" s="24">
        <v>0</v>
      </c>
      <c r="U3" s="24">
        <v>0</v>
      </c>
      <c r="V3" s="22">
        <v>0</v>
      </c>
      <c r="W3" s="50">
        <v>0</v>
      </c>
      <c r="X3" s="22">
        <v>2</v>
      </c>
      <c r="Y3" s="22">
        <v>0</v>
      </c>
      <c r="Z3" s="50" t="s">
        <v>396</v>
      </c>
      <c r="AA3" s="153">
        <v>210</v>
      </c>
    </row>
    <row r="4" spans="1:27" x14ac:dyDescent="0.25">
      <c r="A4" s="22">
        <f t="shared" si="0"/>
        <v>3</v>
      </c>
      <c r="B4" s="23" t="s">
        <v>386</v>
      </c>
      <c r="C4" s="22" t="s">
        <v>129</v>
      </c>
      <c r="D4" s="22">
        <v>1</v>
      </c>
      <c r="E4" s="24">
        <v>0</v>
      </c>
      <c r="F4" s="24">
        <v>0</v>
      </c>
      <c r="G4" s="24">
        <v>0</v>
      </c>
      <c r="H4" s="24">
        <v>0</v>
      </c>
      <c r="I4" s="24">
        <v>0</v>
      </c>
      <c r="J4" s="24">
        <v>0.09</v>
      </c>
      <c r="K4" s="24">
        <v>0</v>
      </c>
      <c r="L4" s="24">
        <v>0.27</v>
      </c>
      <c r="M4" s="25">
        <v>0.04</v>
      </c>
      <c r="N4" s="25">
        <v>0.04</v>
      </c>
      <c r="O4" s="25">
        <v>1.4999999999999999E-2</v>
      </c>
      <c r="P4" s="25">
        <v>1.4999999999999999E-2</v>
      </c>
      <c r="Q4" s="25">
        <v>5.0000000000000001E-3</v>
      </c>
      <c r="R4" s="25">
        <v>1E-3</v>
      </c>
      <c r="S4" s="25">
        <v>0</v>
      </c>
      <c r="T4" s="24">
        <v>0</v>
      </c>
      <c r="U4" s="24">
        <v>0</v>
      </c>
      <c r="V4" s="22">
        <v>0</v>
      </c>
      <c r="W4" s="50">
        <v>1.5</v>
      </c>
      <c r="X4" s="50">
        <v>2</v>
      </c>
      <c r="Y4" s="50">
        <v>0</v>
      </c>
      <c r="Z4" s="153" t="s">
        <v>87</v>
      </c>
      <c r="AA4" s="153">
        <v>770</v>
      </c>
    </row>
    <row r="5" spans="1:27" x14ac:dyDescent="0.25">
      <c r="A5" s="22">
        <f t="shared" si="0"/>
        <v>4</v>
      </c>
      <c r="B5" s="23" t="s">
        <v>128</v>
      </c>
      <c r="C5" s="153" t="s">
        <v>129</v>
      </c>
      <c r="D5" s="153">
        <v>1</v>
      </c>
      <c r="E5" s="24">
        <v>0</v>
      </c>
      <c r="F5" s="24">
        <v>0</v>
      </c>
      <c r="G5" s="24">
        <v>0</v>
      </c>
      <c r="H5" s="24">
        <v>0</v>
      </c>
      <c r="I5" s="24">
        <v>0</v>
      </c>
      <c r="J5" s="24">
        <v>0.16</v>
      </c>
      <c r="K5" s="24">
        <v>0</v>
      </c>
      <c r="L5" s="24">
        <v>0.38900000000000001</v>
      </c>
      <c r="M5" s="25">
        <v>0</v>
      </c>
      <c r="N5" s="25">
        <v>0</v>
      </c>
      <c r="O5" s="25">
        <v>0</v>
      </c>
      <c r="P5" s="25">
        <v>0</v>
      </c>
      <c r="Q5" s="25">
        <v>0</v>
      </c>
      <c r="R5" s="25">
        <v>0</v>
      </c>
      <c r="S5" s="25">
        <v>0</v>
      </c>
      <c r="T5" s="24">
        <v>0</v>
      </c>
      <c r="U5" s="24">
        <v>0</v>
      </c>
      <c r="V5" s="153">
        <v>0</v>
      </c>
      <c r="W5" s="153">
        <v>1.5</v>
      </c>
      <c r="X5" s="153">
        <v>0</v>
      </c>
      <c r="Y5" s="153">
        <v>0</v>
      </c>
      <c r="Z5" s="153" t="s">
        <v>130</v>
      </c>
      <c r="AA5" s="153">
        <v>850</v>
      </c>
    </row>
    <row r="6" spans="1:27" x14ac:dyDescent="0.25">
      <c r="A6" s="22">
        <f t="shared" si="0"/>
        <v>5</v>
      </c>
      <c r="B6" s="157" t="s">
        <v>366</v>
      </c>
      <c r="C6" s="73" t="s">
        <v>131</v>
      </c>
      <c r="D6" s="73">
        <v>1.2</v>
      </c>
      <c r="E6" s="158">
        <v>3.0000000000000001E-3</v>
      </c>
      <c r="F6" s="158">
        <v>3.1E-2</v>
      </c>
      <c r="G6" s="158">
        <v>0</v>
      </c>
      <c r="H6" s="158">
        <v>0.06</v>
      </c>
      <c r="I6" s="158">
        <v>2.4E-2</v>
      </c>
      <c r="J6" s="158">
        <v>0</v>
      </c>
      <c r="K6" s="158">
        <v>0</v>
      </c>
      <c r="L6" s="158">
        <v>0</v>
      </c>
      <c r="M6" s="159">
        <v>5.1999999999999995E-4</v>
      </c>
      <c r="N6" s="159">
        <v>5.0000000000000002E-5</v>
      </c>
      <c r="O6" s="159">
        <v>0</v>
      </c>
      <c r="P6" s="159">
        <v>0</v>
      </c>
      <c r="Q6" s="159">
        <v>0</v>
      </c>
      <c r="R6" s="159">
        <v>0</v>
      </c>
      <c r="S6" s="159">
        <v>0</v>
      </c>
      <c r="T6" s="158">
        <v>0</v>
      </c>
      <c r="U6" s="158">
        <v>0</v>
      </c>
      <c r="V6" s="73">
        <v>0</v>
      </c>
      <c r="W6" s="73">
        <v>0</v>
      </c>
      <c r="X6" s="73">
        <v>2</v>
      </c>
      <c r="Y6" s="73">
        <v>0</v>
      </c>
      <c r="Z6" s="73" t="s">
        <v>393</v>
      </c>
      <c r="AA6" s="73" t="s">
        <v>394</v>
      </c>
    </row>
    <row r="7" spans="1:27" x14ac:dyDescent="0.25">
      <c r="A7" s="22">
        <f t="shared" si="0"/>
        <v>6</v>
      </c>
      <c r="B7" s="157" t="s">
        <v>367</v>
      </c>
      <c r="C7" s="73" t="s">
        <v>131</v>
      </c>
      <c r="D7" s="73">
        <v>1.2</v>
      </c>
      <c r="E7" s="158">
        <v>0</v>
      </c>
      <c r="F7" s="158">
        <v>0</v>
      </c>
      <c r="G7" s="158">
        <v>3.6999999999999998E-2</v>
      </c>
      <c r="H7" s="158">
        <v>3.6999999999999998E-2</v>
      </c>
      <c r="I7" s="158">
        <v>0</v>
      </c>
      <c r="J7" s="158">
        <v>1.7000000000000001E-2</v>
      </c>
      <c r="K7" s="158">
        <v>0</v>
      </c>
      <c r="L7" s="158">
        <v>5.3999999999999999E-2</v>
      </c>
      <c r="M7" s="159">
        <v>0</v>
      </c>
      <c r="N7" s="159">
        <v>1.8000000000000001E-4</v>
      </c>
      <c r="O7" s="159">
        <v>1.0000000000000001E-5</v>
      </c>
      <c r="P7" s="159">
        <v>1E-4</v>
      </c>
      <c r="Q7" s="159">
        <v>1E-4</v>
      </c>
      <c r="R7" s="159">
        <v>2.0000000000000002E-5</v>
      </c>
      <c r="S7" s="159">
        <v>0</v>
      </c>
      <c r="T7" s="158">
        <v>0</v>
      </c>
      <c r="U7" s="158">
        <v>0</v>
      </c>
      <c r="V7" s="73">
        <v>2</v>
      </c>
      <c r="W7" s="73">
        <v>1.5</v>
      </c>
      <c r="X7" s="73">
        <v>0</v>
      </c>
      <c r="Y7" s="73">
        <v>0</v>
      </c>
      <c r="Z7" s="73" t="s">
        <v>393</v>
      </c>
      <c r="AA7" s="73" t="s">
        <v>394</v>
      </c>
    </row>
    <row r="8" spans="1:27" x14ac:dyDescent="0.25">
      <c r="A8" s="22">
        <f t="shared" si="0"/>
        <v>7</v>
      </c>
      <c r="B8" s="157" t="s">
        <v>364</v>
      </c>
      <c r="C8" s="73" t="s">
        <v>131</v>
      </c>
      <c r="D8" s="73">
        <v>1.2</v>
      </c>
      <c r="E8" s="158">
        <v>1.0999999999999999E-2</v>
      </c>
      <c r="F8" s="158">
        <v>3.9E-2</v>
      </c>
      <c r="G8" s="158">
        <v>0</v>
      </c>
      <c r="H8" s="158">
        <v>2.5999999999999999E-2</v>
      </c>
      <c r="I8" s="158">
        <v>2.3E-2</v>
      </c>
      <c r="J8" s="158">
        <v>1.2999999999999999E-2</v>
      </c>
      <c r="K8" s="158">
        <v>0</v>
      </c>
      <c r="L8" s="158">
        <v>0</v>
      </c>
      <c r="M8" s="159">
        <v>3.8999999999999999E-4</v>
      </c>
      <c r="N8" s="159">
        <v>0</v>
      </c>
      <c r="O8" s="159">
        <v>0</v>
      </c>
      <c r="P8" s="159">
        <v>0</v>
      </c>
      <c r="Q8" s="159">
        <v>0</v>
      </c>
      <c r="R8" s="159">
        <v>0</v>
      </c>
      <c r="S8" s="159">
        <v>0</v>
      </c>
      <c r="T8" s="158">
        <v>0</v>
      </c>
      <c r="U8" s="158">
        <v>0</v>
      </c>
      <c r="V8" s="73">
        <v>0</v>
      </c>
      <c r="W8" s="73">
        <v>0</v>
      </c>
      <c r="X8" s="73">
        <v>2</v>
      </c>
      <c r="Y8" s="73">
        <v>0</v>
      </c>
      <c r="Z8" s="73" t="s">
        <v>393</v>
      </c>
      <c r="AA8" s="73" t="s">
        <v>394</v>
      </c>
    </row>
    <row r="9" spans="1:27" x14ac:dyDescent="0.25">
      <c r="A9" s="22">
        <f t="shared" si="0"/>
        <v>8</v>
      </c>
      <c r="B9" s="157" t="s">
        <v>365</v>
      </c>
      <c r="C9" s="73" t="s">
        <v>131</v>
      </c>
      <c r="D9" s="73">
        <v>1.2</v>
      </c>
      <c r="E9" s="158">
        <v>0</v>
      </c>
      <c r="F9" s="158">
        <v>0</v>
      </c>
      <c r="G9" s="158">
        <v>2.5999999999999999E-2</v>
      </c>
      <c r="H9" s="158">
        <v>4.2000000000000003E-2</v>
      </c>
      <c r="I9" s="158">
        <v>0</v>
      </c>
      <c r="J9" s="158">
        <v>0</v>
      </c>
      <c r="K9" s="158">
        <v>0</v>
      </c>
      <c r="L9" s="158">
        <v>0.03</v>
      </c>
      <c r="M9" s="159">
        <v>0</v>
      </c>
      <c r="N9" s="159">
        <v>2.0000000000000001E-4</v>
      </c>
      <c r="O9" s="159">
        <v>1.0000000000000001E-5</v>
      </c>
      <c r="P9" s="159">
        <v>1.1E-4</v>
      </c>
      <c r="Q9" s="159">
        <v>1.1E-4</v>
      </c>
      <c r="R9" s="159">
        <v>3.0000000000000001E-5</v>
      </c>
      <c r="S9" s="159">
        <v>0</v>
      </c>
      <c r="T9" s="158">
        <v>0</v>
      </c>
      <c r="U9" s="158">
        <v>0</v>
      </c>
      <c r="V9" s="73">
        <v>2</v>
      </c>
      <c r="W9" s="73">
        <v>1.5</v>
      </c>
      <c r="X9" s="73">
        <v>0</v>
      </c>
      <c r="Y9" s="73">
        <v>0</v>
      </c>
      <c r="Z9" s="73" t="s">
        <v>393</v>
      </c>
      <c r="AA9" s="73" t="s">
        <v>394</v>
      </c>
    </row>
    <row r="10" spans="1:27" x14ac:dyDescent="0.25">
      <c r="A10" s="22">
        <f t="shared" si="0"/>
        <v>9</v>
      </c>
      <c r="B10" s="157" t="s">
        <v>368</v>
      </c>
      <c r="C10" s="73" t="s">
        <v>131</v>
      </c>
      <c r="D10" s="73">
        <v>1.2</v>
      </c>
      <c r="E10" s="158">
        <v>1.7999999999999999E-2</v>
      </c>
      <c r="F10" s="158">
        <v>5.0999999999999997E-2</v>
      </c>
      <c r="G10" s="158">
        <v>0</v>
      </c>
      <c r="H10" s="158">
        <v>0</v>
      </c>
      <c r="I10" s="158">
        <v>6.8000000000000005E-2</v>
      </c>
      <c r="J10" s="158">
        <v>2.4E-2</v>
      </c>
      <c r="K10" s="158">
        <v>0</v>
      </c>
      <c r="L10" s="158">
        <v>0</v>
      </c>
      <c r="M10" s="159">
        <v>0</v>
      </c>
      <c r="N10" s="159">
        <v>0</v>
      </c>
      <c r="O10" s="159">
        <v>0</v>
      </c>
      <c r="P10" s="159">
        <v>0</v>
      </c>
      <c r="Q10" s="159">
        <v>0</v>
      </c>
      <c r="R10" s="159">
        <v>0</v>
      </c>
      <c r="S10" s="159">
        <v>0</v>
      </c>
      <c r="T10" s="158">
        <v>0</v>
      </c>
      <c r="U10" s="158">
        <v>0</v>
      </c>
      <c r="V10" s="73">
        <v>0</v>
      </c>
      <c r="W10" s="73">
        <v>0</v>
      </c>
      <c r="X10" s="73">
        <v>0</v>
      </c>
      <c r="Y10" s="73">
        <v>0</v>
      </c>
      <c r="Z10" s="73" t="s">
        <v>393</v>
      </c>
      <c r="AA10" s="73" t="s">
        <v>394</v>
      </c>
    </row>
    <row r="11" spans="1:27" x14ac:dyDescent="0.25">
      <c r="A11" s="22">
        <f t="shared" si="0"/>
        <v>10</v>
      </c>
      <c r="B11" s="157" t="s">
        <v>373</v>
      </c>
      <c r="C11" s="73" t="s">
        <v>131</v>
      </c>
      <c r="D11" s="73">
        <v>1.2</v>
      </c>
      <c r="E11" s="158">
        <v>0</v>
      </c>
      <c r="F11" s="158">
        <v>0</v>
      </c>
      <c r="G11" s="158">
        <v>1.7000000000000001E-2</v>
      </c>
      <c r="H11" s="158">
        <v>8.9999999999999993E-3</v>
      </c>
      <c r="I11" s="158">
        <v>0</v>
      </c>
      <c r="J11" s="158">
        <v>2E-3</v>
      </c>
      <c r="K11" s="158">
        <v>0</v>
      </c>
      <c r="L11" s="158">
        <v>3.0000000000000001E-3</v>
      </c>
      <c r="M11" s="159">
        <v>0</v>
      </c>
      <c r="N11" s="159">
        <v>0</v>
      </c>
      <c r="O11" s="159">
        <v>0</v>
      </c>
      <c r="P11" s="159">
        <v>0</v>
      </c>
      <c r="Q11" s="159">
        <v>0</v>
      </c>
      <c r="R11" s="159">
        <v>0</v>
      </c>
      <c r="S11" s="159">
        <v>0</v>
      </c>
      <c r="T11" s="158">
        <v>0</v>
      </c>
      <c r="U11" s="158">
        <v>0</v>
      </c>
      <c r="V11" s="73">
        <v>1</v>
      </c>
      <c r="W11" s="73">
        <v>1.5</v>
      </c>
      <c r="X11" s="73">
        <v>0</v>
      </c>
      <c r="Y11" s="73">
        <v>0</v>
      </c>
      <c r="Z11" s="160" t="s">
        <v>393</v>
      </c>
      <c r="AA11" s="73" t="s">
        <v>394</v>
      </c>
    </row>
    <row r="12" spans="1:27" x14ac:dyDescent="0.25">
      <c r="A12" s="22">
        <f t="shared" si="0"/>
        <v>11</v>
      </c>
      <c r="B12" s="23" t="s">
        <v>133</v>
      </c>
      <c r="C12" s="22" t="s">
        <v>131</v>
      </c>
      <c r="D12" s="22">
        <v>1.2</v>
      </c>
      <c r="E12" s="24">
        <v>0</v>
      </c>
      <c r="F12" s="24">
        <v>0</v>
      </c>
      <c r="G12" s="24">
        <v>0</v>
      </c>
      <c r="H12" s="24">
        <v>0</v>
      </c>
      <c r="I12" s="24">
        <v>0.26</v>
      </c>
      <c r="J12" s="24">
        <v>0</v>
      </c>
      <c r="K12" s="24">
        <v>0</v>
      </c>
      <c r="L12" s="24">
        <v>0</v>
      </c>
      <c r="M12" s="25">
        <v>0</v>
      </c>
      <c r="N12" s="25">
        <v>0</v>
      </c>
      <c r="O12" s="25">
        <v>0</v>
      </c>
      <c r="P12" s="25">
        <v>0</v>
      </c>
      <c r="Q12" s="25">
        <v>0</v>
      </c>
      <c r="R12" s="25">
        <v>0</v>
      </c>
      <c r="S12" s="25">
        <v>0</v>
      </c>
      <c r="T12" s="24">
        <v>0</v>
      </c>
      <c r="U12" s="24">
        <v>0</v>
      </c>
      <c r="V12" s="22">
        <v>0</v>
      </c>
      <c r="W12" s="50">
        <v>0</v>
      </c>
      <c r="X12" s="22">
        <v>0</v>
      </c>
      <c r="Y12" s="22">
        <v>0</v>
      </c>
      <c r="Z12" s="153" t="s">
        <v>134</v>
      </c>
      <c r="AA12" s="153">
        <v>730</v>
      </c>
    </row>
    <row r="13" spans="1:27" x14ac:dyDescent="0.25">
      <c r="A13" s="22">
        <f t="shared" si="0"/>
        <v>12</v>
      </c>
      <c r="B13" s="23" t="s">
        <v>135</v>
      </c>
      <c r="C13" s="153" t="s">
        <v>131</v>
      </c>
      <c r="D13" s="153">
        <v>1.2</v>
      </c>
      <c r="E13" s="24">
        <v>0</v>
      </c>
      <c r="F13" s="24">
        <v>0</v>
      </c>
      <c r="G13" s="24">
        <v>0</v>
      </c>
      <c r="H13" s="24">
        <v>0</v>
      </c>
      <c r="I13" s="24">
        <v>0</v>
      </c>
      <c r="J13" s="24">
        <v>7.0000000000000007E-2</v>
      </c>
      <c r="K13" s="24">
        <v>0</v>
      </c>
      <c r="L13" s="24">
        <v>0.19</v>
      </c>
      <c r="M13" s="25">
        <v>0</v>
      </c>
      <c r="N13" s="25">
        <v>0</v>
      </c>
      <c r="O13" s="25">
        <v>0</v>
      </c>
      <c r="P13" s="25">
        <v>0</v>
      </c>
      <c r="Q13" s="25">
        <v>0</v>
      </c>
      <c r="R13" s="25">
        <v>0</v>
      </c>
      <c r="S13" s="25">
        <v>0</v>
      </c>
      <c r="T13" s="24">
        <v>0</v>
      </c>
      <c r="U13" s="24">
        <v>0</v>
      </c>
      <c r="V13" s="153">
        <v>0</v>
      </c>
      <c r="W13" s="153">
        <v>1.5</v>
      </c>
      <c r="X13" s="153">
        <v>0</v>
      </c>
      <c r="Y13" s="153">
        <v>0</v>
      </c>
      <c r="Z13" s="153" t="s">
        <v>132</v>
      </c>
      <c r="AA13" s="153">
        <v>490</v>
      </c>
    </row>
    <row r="14" spans="1:27" x14ac:dyDescent="0.25">
      <c r="A14" s="22">
        <f t="shared" si="0"/>
        <v>13</v>
      </c>
      <c r="B14" s="157" t="s">
        <v>374</v>
      </c>
      <c r="C14" s="73" t="s">
        <v>131</v>
      </c>
      <c r="D14" s="73">
        <v>1.2</v>
      </c>
      <c r="E14" s="158">
        <v>0</v>
      </c>
      <c r="F14" s="158">
        <v>0</v>
      </c>
      <c r="G14" s="158">
        <v>0.109</v>
      </c>
      <c r="H14" s="158">
        <v>0.11799999999999999</v>
      </c>
      <c r="I14" s="158">
        <v>0</v>
      </c>
      <c r="J14" s="158">
        <v>0</v>
      </c>
      <c r="K14" s="158">
        <v>0</v>
      </c>
      <c r="L14" s="158">
        <v>0</v>
      </c>
      <c r="M14" s="159">
        <v>0</v>
      </c>
      <c r="N14" s="159">
        <v>0</v>
      </c>
      <c r="O14" s="159">
        <v>0</v>
      </c>
      <c r="P14" s="159">
        <v>0</v>
      </c>
      <c r="Q14" s="159">
        <v>0</v>
      </c>
      <c r="R14" s="159">
        <v>0</v>
      </c>
      <c r="S14" s="159">
        <v>0</v>
      </c>
      <c r="T14" s="158">
        <v>0</v>
      </c>
      <c r="U14" s="158">
        <v>0</v>
      </c>
      <c r="V14" s="73">
        <v>2</v>
      </c>
      <c r="W14" s="73">
        <v>0</v>
      </c>
      <c r="X14" s="73">
        <v>0</v>
      </c>
      <c r="Y14" s="73">
        <v>0</v>
      </c>
      <c r="Z14" s="73" t="s">
        <v>393</v>
      </c>
      <c r="AA14" s="73" t="s">
        <v>394</v>
      </c>
    </row>
    <row r="15" spans="1:27" x14ac:dyDescent="0.25">
      <c r="A15" s="22">
        <f t="shared" si="0"/>
        <v>14</v>
      </c>
      <c r="B15" s="157" t="s">
        <v>372</v>
      </c>
      <c r="C15" s="73" t="s">
        <v>131</v>
      </c>
      <c r="D15" s="73">
        <v>1.2</v>
      </c>
      <c r="E15" s="158">
        <v>0</v>
      </c>
      <c r="F15" s="158">
        <v>6.0000000000000001E-3</v>
      </c>
      <c r="G15" s="158">
        <v>2E-3</v>
      </c>
      <c r="H15" s="158">
        <v>1.2E-2</v>
      </c>
      <c r="I15" s="158">
        <v>0</v>
      </c>
      <c r="J15" s="158">
        <v>0</v>
      </c>
      <c r="K15" s="158">
        <v>7.0000000000000001E-3</v>
      </c>
      <c r="L15" s="158">
        <v>0</v>
      </c>
      <c r="M15" s="159">
        <v>0</v>
      </c>
      <c r="N15" s="159">
        <v>0</v>
      </c>
      <c r="O15" s="159">
        <v>0</v>
      </c>
      <c r="P15" s="159">
        <v>0</v>
      </c>
      <c r="Q15" s="159">
        <v>0</v>
      </c>
      <c r="R15" s="159">
        <v>0</v>
      </c>
      <c r="S15" s="159">
        <v>0</v>
      </c>
      <c r="T15" s="158">
        <v>0</v>
      </c>
      <c r="U15" s="158">
        <v>0</v>
      </c>
      <c r="V15" s="73">
        <v>1</v>
      </c>
      <c r="W15" s="73">
        <v>0</v>
      </c>
      <c r="X15" s="73">
        <v>0</v>
      </c>
      <c r="Y15" s="73">
        <v>0</v>
      </c>
      <c r="Z15" s="73" t="s">
        <v>393</v>
      </c>
      <c r="AA15" s="73" t="s">
        <v>394</v>
      </c>
    </row>
    <row r="16" spans="1:27" x14ac:dyDescent="0.25">
      <c r="A16" s="22">
        <f t="shared" si="0"/>
        <v>15</v>
      </c>
      <c r="B16" s="23" t="s">
        <v>136</v>
      </c>
      <c r="C16" s="22" t="s">
        <v>129</v>
      </c>
      <c r="D16" s="22">
        <v>1</v>
      </c>
      <c r="E16" s="24">
        <v>0.105</v>
      </c>
      <c r="F16" s="24">
        <v>4.4999999999999998E-2</v>
      </c>
      <c r="G16" s="24">
        <v>0.1</v>
      </c>
      <c r="H16" s="24">
        <v>0.15</v>
      </c>
      <c r="I16" s="24">
        <v>0</v>
      </c>
      <c r="J16" s="24">
        <v>0.02</v>
      </c>
      <c r="K16" s="24">
        <v>0</v>
      </c>
      <c r="L16" s="24">
        <v>0</v>
      </c>
      <c r="M16" s="25">
        <v>7.5000000000000002E-4</v>
      </c>
      <c r="N16" s="25">
        <v>5.0000000000000001E-4</v>
      </c>
      <c r="O16" s="25">
        <v>2.0000000000000001E-4</v>
      </c>
      <c r="P16" s="25">
        <v>1.4999999999999999E-4</v>
      </c>
      <c r="Q16" s="25">
        <v>1E-4</v>
      </c>
      <c r="R16" s="25">
        <v>1.0000000000000001E-5</v>
      </c>
      <c r="S16" s="25">
        <v>0</v>
      </c>
      <c r="T16" s="24">
        <v>0</v>
      </c>
      <c r="U16" s="24">
        <v>0</v>
      </c>
      <c r="V16" s="22">
        <v>3.5</v>
      </c>
      <c r="W16" s="50">
        <v>0</v>
      </c>
      <c r="X16" s="22">
        <v>2</v>
      </c>
      <c r="Y16" s="22">
        <v>0</v>
      </c>
      <c r="Z16" s="56" t="s">
        <v>137</v>
      </c>
      <c r="AA16" s="153">
        <v>1320</v>
      </c>
    </row>
    <row r="17" spans="1:27" x14ac:dyDescent="0.25">
      <c r="A17" s="22">
        <f t="shared" si="0"/>
        <v>16</v>
      </c>
      <c r="B17" s="23" t="s">
        <v>327</v>
      </c>
      <c r="C17" s="22" t="s">
        <v>129</v>
      </c>
      <c r="D17" s="22">
        <v>1</v>
      </c>
      <c r="E17" s="24">
        <v>0.05</v>
      </c>
      <c r="F17" s="24">
        <v>0.03</v>
      </c>
      <c r="G17" s="24">
        <v>0.12</v>
      </c>
      <c r="H17" s="24">
        <v>0.24</v>
      </c>
      <c r="I17" s="24">
        <v>0</v>
      </c>
      <c r="J17" s="24">
        <v>0.04</v>
      </c>
      <c r="K17" s="24">
        <v>0</v>
      </c>
      <c r="L17" s="24">
        <v>0</v>
      </c>
      <c r="M17" s="25">
        <v>5.0000000000000001E-4</v>
      </c>
      <c r="N17" s="25">
        <v>5.0000000000000001E-4</v>
      </c>
      <c r="O17" s="25">
        <v>2.0000000000000001E-4</v>
      </c>
      <c r="P17" s="25">
        <v>2.0000000000000001E-4</v>
      </c>
      <c r="Q17" s="25">
        <v>1E-4</v>
      </c>
      <c r="R17" s="25">
        <v>1.0000000000000001E-5</v>
      </c>
      <c r="S17" s="25">
        <v>0</v>
      </c>
      <c r="T17" s="24">
        <v>0</v>
      </c>
      <c r="U17" s="24">
        <v>0</v>
      </c>
      <c r="V17" s="22">
        <v>3.5</v>
      </c>
      <c r="W17" s="50">
        <v>0</v>
      </c>
      <c r="X17" s="22">
        <v>2</v>
      </c>
      <c r="Y17" s="22">
        <v>0</v>
      </c>
      <c r="Z17" s="114" t="s">
        <v>137</v>
      </c>
      <c r="AA17" s="153">
        <v>1210</v>
      </c>
    </row>
    <row r="18" spans="1:27" x14ac:dyDescent="0.25">
      <c r="A18" s="22">
        <f t="shared" si="0"/>
        <v>17</v>
      </c>
      <c r="B18" s="23" t="s">
        <v>138</v>
      </c>
      <c r="C18" s="153" t="s">
        <v>129</v>
      </c>
      <c r="D18" s="153">
        <v>1</v>
      </c>
      <c r="E18" s="24">
        <v>0</v>
      </c>
      <c r="F18" s="24">
        <v>0.03</v>
      </c>
      <c r="G18" s="24">
        <v>0.15</v>
      </c>
      <c r="H18" s="24">
        <v>0.36</v>
      </c>
      <c r="I18" s="24">
        <v>0</v>
      </c>
      <c r="J18" s="24">
        <v>0.04</v>
      </c>
      <c r="K18" s="24">
        <v>0</v>
      </c>
      <c r="L18" s="24">
        <v>0</v>
      </c>
      <c r="M18" s="25">
        <v>2.0000000000000001E-4</v>
      </c>
      <c r="N18" s="25">
        <v>5.0000000000000001E-4</v>
      </c>
      <c r="O18" s="25">
        <v>2.0000000000000001E-4</v>
      </c>
      <c r="P18" s="25">
        <v>1.4999999999999999E-4</v>
      </c>
      <c r="Q18" s="25">
        <v>2.0000000000000001E-4</v>
      </c>
      <c r="R18" s="25">
        <v>1.0000000000000001E-5</v>
      </c>
      <c r="S18" s="25">
        <v>0</v>
      </c>
      <c r="T18" s="24">
        <v>0</v>
      </c>
      <c r="U18" s="24">
        <v>0</v>
      </c>
      <c r="V18" s="153">
        <v>3.5</v>
      </c>
      <c r="W18" s="153">
        <v>0</v>
      </c>
      <c r="X18" s="153">
        <v>2</v>
      </c>
      <c r="Y18" s="153">
        <v>0</v>
      </c>
      <c r="Z18" s="153" t="s">
        <v>139</v>
      </c>
      <c r="AA18" s="153">
        <v>1170</v>
      </c>
    </row>
    <row r="19" spans="1:27" x14ac:dyDescent="0.25">
      <c r="A19" s="22">
        <f t="shared" si="0"/>
        <v>18</v>
      </c>
      <c r="B19" s="23" t="s">
        <v>140</v>
      </c>
      <c r="C19" s="153" t="s">
        <v>129</v>
      </c>
      <c r="D19" s="153">
        <v>1</v>
      </c>
      <c r="E19" s="24">
        <v>0.01</v>
      </c>
      <c r="F19" s="24">
        <v>0.04</v>
      </c>
      <c r="G19" s="24">
        <v>0.2</v>
      </c>
      <c r="H19" s="24">
        <v>0.3</v>
      </c>
      <c r="I19" s="24">
        <v>0</v>
      </c>
      <c r="J19" s="24">
        <v>0.05</v>
      </c>
      <c r="K19" s="24">
        <v>0</v>
      </c>
      <c r="L19" s="24">
        <v>0</v>
      </c>
      <c r="M19" s="25">
        <v>2E-3</v>
      </c>
      <c r="N19" s="25">
        <v>1E-3</v>
      </c>
      <c r="O19" s="25">
        <v>5.9999999999999995E-4</v>
      </c>
      <c r="P19" s="25">
        <v>2.5000000000000001E-4</v>
      </c>
      <c r="Q19" s="25">
        <v>2.9999999999999997E-4</v>
      </c>
      <c r="R19" s="25">
        <v>3.0000000000000001E-5</v>
      </c>
      <c r="S19" s="25">
        <v>0</v>
      </c>
      <c r="T19" s="24">
        <v>0</v>
      </c>
      <c r="U19" s="24">
        <v>0</v>
      </c>
      <c r="V19" s="153">
        <v>2</v>
      </c>
      <c r="W19" s="153">
        <v>0</v>
      </c>
      <c r="X19" s="153">
        <v>2</v>
      </c>
      <c r="Y19" s="153">
        <v>0</v>
      </c>
      <c r="Z19" s="153" t="s">
        <v>139</v>
      </c>
      <c r="AA19" s="153">
        <v>1090</v>
      </c>
    </row>
    <row r="20" spans="1:27" x14ac:dyDescent="0.25">
      <c r="A20" s="22">
        <f t="shared" si="0"/>
        <v>19</v>
      </c>
      <c r="B20" s="23" t="s">
        <v>141</v>
      </c>
      <c r="C20" s="153" t="s">
        <v>129</v>
      </c>
      <c r="D20" s="153">
        <v>1</v>
      </c>
      <c r="E20" s="24">
        <v>3.5000000000000003E-2</v>
      </c>
      <c r="F20" s="24">
        <v>7.4999999999999997E-2</v>
      </c>
      <c r="G20" s="24">
        <v>0.11</v>
      </c>
      <c r="H20" s="24">
        <v>0.3</v>
      </c>
      <c r="I20" s="24">
        <v>0</v>
      </c>
      <c r="J20" s="24">
        <v>0.03</v>
      </c>
      <c r="K20" s="24">
        <v>0</v>
      </c>
      <c r="L20" s="24">
        <v>0</v>
      </c>
      <c r="M20" s="25">
        <v>1E-3</v>
      </c>
      <c r="N20" s="25">
        <v>5.0000000000000001E-4</v>
      </c>
      <c r="O20" s="25">
        <v>2.0000000000000001E-4</v>
      </c>
      <c r="P20" s="25">
        <v>1.4999999999999999E-4</v>
      </c>
      <c r="Q20" s="25">
        <v>1E-4</v>
      </c>
      <c r="R20" s="25">
        <v>1.0000000000000001E-5</v>
      </c>
      <c r="S20" s="25">
        <v>0</v>
      </c>
      <c r="T20" s="24">
        <v>0</v>
      </c>
      <c r="U20" s="24">
        <v>0</v>
      </c>
      <c r="V20" s="153">
        <v>2</v>
      </c>
      <c r="W20" s="153">
        <v>0</v>
      </c>
      <c r="X20" s="153">
        <v>2</v>
      </c>
      <c r="Y20" s="153">
        <v>0</v>
      </c>
      <c r="Z20" s="153" t="s">
        <v>142</v>
      </c>
      <c r="AA20" s="153">
        <v>1190</v>
      </c>
    </row>
    <row r="21" spans="1:27" x14ac:dyDescent="0.25">
      <c r="A21" s="22">
        <f t="shared" si="0"/>
        <v>20</v>
      </c>
      <c r="B21" s="24" t="s">
        <v>143</v>
      </c>
      <c r="C21" s="24" t="s">
        <v>129</v>
      </c>
      <c r="D21" s="131">
        <v>1</v>
      </c>
      <c r="E21" s="24">
        <v>6.3E-2</v>
      </c>
      <c r="F21" s="24">
        <v>9.7000000000000003E-2</v>
      </c>
      <c r="G21" s="24">
        <v>0.08</v>
      </c>
      <c r="H21" s="24">
        <v>0.22</v>
      </c>
      <c r="I21" s="24">
        <v>0</v>
      </c>
      <c r="J21" s="24">
        <v>0.03</v>
      </c>
      <c r="K21" s="24">
        <v>0</v>
      </c>
      <c r="L21" s="24">
        <v>0</v>
      </c>
      <c r="M21" s="25">
        <v>1.4999999999999999E-4</v>
      </c>
      <c r="N21" s="25">
        <v>5.0000000000000001E-4</v>
      </c>
      <c r="O21" s="25">
        <v>2.0000000000000001E-4</v>
      </c>
      <c r="P21" s="25">
        <v>1.4999999999999999E-4</v>
      </c>
      <c r="Q21" s="25">
        <v>2.0000000000000001E-4</v>
      </c>
      <c r="R21" s="25">
        <v>2.5000000000000001E-5</v>
      </c>
      <c r="S21" s="25">
        <v>0</v>
      </c>
      <c r="T21" s="24">
        <v>0</v>
      </c>
      <c r="U21" s="24">
        <v>0</v>
      </c>
      <c r="V21" s="153">
        <v>2</v>
      </c>
      <c r="W21" s="153">
        <v>0</v>
      </c>
      <c r="X21" s="153">
        <v>2</v>
      </c>
      <c r="Y21" s="153">
        <v>0</v>
      </c>
      <c r="Z21" s="153" t="s">
        <v>139</v>
      </c>
      <c r="AA21" s="153">
        <v>1260</v>
      </c>
    </row>
    <row r="22" spans="1:27" x14ac:dyDescent="0.25">
      <c r="A22" s="22">
        <f t="shared" si="0"/>
        <v>21</v>
      </c>
      <c r="B22" s="23" t="s">
        <v>392</v>
      </c>
      <c r="C22" s="153" t="s">
        <v>131</v>
      </c>
      <c r="D22" s="153">
        <v>1.25</v>
      </c>
      <c r="E22" s="24">
        <v>0.03</v>
      </c>
      <c r="F22" s="24">
        <v>0.03</v>
      </c>
      <c r="G22" s="24">
        <v>0</v>
      </c>
      <c r="H22" s="24">
        <v>0</v>
      </c>
      <c r="I22" s="24">
        <v>0</v>
      </c>
      <c r="J22" s="24">
        <v>0</v>
      </c>
      <c r="K22" s="24">
        <v>0</v>
      </c>
      <c r="L22" s="24">
        <v>0</v>
      </c>
      <c r="M22" s="25">
        <v>2.3999999999999998E-3</v>
      </c>
      <c r="N22" s="25">
        <v>1.4E-3</v>
      </c>
      <c r="O22" s="25">
        <v>0</v>
      </c>
      <c r="P22" s="25">
        <v>1.7000000000000001E-4</v>
      </c>
      <c r="Q22" s="25">
        <v>9.6000000000000002E-4</v>
      </c>
      <c r="R22" s="25">
        <v>5.0000000000000002E-5</v>
      </c>
      <c r="S22" s="25">
        <v>0</v>
      </c>
      <c r="T22" s="24">
        <v>0</v>
      </c>
      <c r="U22" s="24">
        <v>0</v>
      </c>
      <c r="V22" s="153">
        <v>0</v>
      </c>
      <c r="W22" s="153">
        <v>0</v>
      </c>
      <c r="X22" s="153">
        <v>2</v>
      </c>
      <c r="Y22" s="153">
        <v>0</v>
      </c>
      <c r="Z22" s="153" t="s">
        <v>390</v>
      </c>
      <c r="AA22" s="153">
        <v>340</v>
      </c>
    </row>
    <row r="23" spans="1:27" x14ac:dyDescent="0.25">
      <c r="A23" s="22">
        <f t="shared" si="0"/>
        <v>22</v>
      </c>
      <c r="B23" s="23" t="s">
        <v>387</v>
      </c>
      <c r="C23" s="153" t="s">
        <v>129</v>
      </c>
      <c r="D23" s="153">
        <v>1</v>
      </c>
      <c r="E23" s="24">
        <v>0</v>
      </c>
      <c r="F23" s="24">
        <v>1.4500000000000001E-2</v>
      </c>
      <c r="G23" s="24">
        <v>0</v>
      </c>
      <c r="H23" s="24">
        <v>0.121</v>
      </c>
      <c r="I23" s="24">
        <v>0</v>
      </c>
      <c r="J23" s="24">
        <v>0</v>
      </c>
      <c r="K23" s="24">
        <v>1.2E-2</v>
      </c>
      <c r="L23" s="24">
        <v>1.0999999999999999E-2</v>
      </c>
      <c r="M23" s="25">
        <v>7.9000000000000008E-3</v>
      </c>
      <c r="N23" s="25">
        <v>0</v>
      </c>
      <c r="O23" s="25">
        <v>0</v>
      </c>
      <c r="P23" s="25">
        <v>0</v>
      </c>
      <c r="Q23" s="25">
        <v>0</v>
      </c>
      <c r="R23" s="25">
        <v>0</v>
      </c>
      <c r="S23" s="25">
        <v>0</v>
      </c>
      <c r="T23" s="24">
        <v>0</v>
      </c>
      <c r="U23" s="24">
        <v>0</v>
      </c>
      <c r="V23" s="153">
        <v>0</v>
      </c>
      <c r="W23" s="153">
        <v>2</v>
      </c>
      <c r="X23" s="153">
        <v>2</v>
      </c>
      <c r="Y23" s="153">
        <v>0</v>
      </c>
      <c r="Z23" s="153" t="s">
        <v>388</v>
      </c>
      <c r="AA23" s="153">
        <v>310</v>
      </c>
    </row>
    <row r="24" spans="1:27" x14ac:dyDescent="0.25">
      <c r="A24" s="22">
        <f t="shared" si="0"/>
        <v>23</v>
      </c>
      <c r="B24" s="23" t="s">
        <v>389</v>
      </c>
      <c r="C24" s="153" t="s">
        <v>131</v>
      </c>
      <c r="D24" s="153">
        <v>1.2</v>
      </c>
      <c r="E24" s="24">
        <v>0</v>
      </c>
      <c r="F24" s="24">
        <v>0</v>
      </c>
      <c r="G24" s="24">
        <v>0</v>
      </c>
      <c r="H24" s="24">
        <v>0</v>
      </c>
      <c r="I24" s="24">
        <v>0</v>
      </c>
      <c r="J24" s="24">
        <v>3.2000000000000001E-2</v>
      </c>
      <c r="K24" s="24">
        <v>0</v>
      </c>
      <c r="L24" s="24">
        <v>3.9E-2</v>
      </c>
      <c r="M24" s="25">
        <v>1.2E-2</v>
      </c>
      <c r="N24" s="25">
        <v>6.0000000000000001E-3</v>
      </c>
      <c r="O24" s="25">
        <v>4.0000000000000001E-3</v>
      </c>
      <c r="P24" s="25">
        <v>8.0000000000000002E-3</v>
      </c>
      <c r="Q24" s="25">
        <v>0</v>
      </c>
      <c r="R24" s="25">
        <v>0</v>
      </c>
      <c r="S24" s="25">
        <v>0</v>
      </c>
      <c r="T24" s="24">
        <v>0</v>
      </c>
      <c r="U24" s="24">
        <v>0</v>
      </c>
      <c r="V24" s="153">
        <v>0</v>
      </c>
      <c r="W24" s="153">
        <v>2</v>
      </c>
      <c r="X24" s="153">
        <v>2</v>
      </c>
      <c r="Y24" s="153">
        <v>0</v>
      </c>
      <c r="Z24" s="153" t="s">
        <v>391</v>
      </c>
      <c r="AA24" s="153">
        <v>210</v>
      </c>
    </row>
    <row r="25" spans="1:27" x14ac:dyDescent="0.25">
      <c r="A25" s="22">
        <f t="shared" si="0"/>
        <v>24</v>
      </c>
      <c r="B25" s="23" t="s">
        <v>144</v>
      </c>
      <c r="C25" s="153" t="s">
        <v>129</v>
      </c>
      <c r="D25" s="153">
        <v>1</v>
      </c>
      <c r="E25" s="24">
        <v>0</v>
      </c>
      <c r="F25" s="24">
        <v>0</v>
      </c>
      <c r="G25" s="24">
        <v>0.52</v>
      </c>
      <c r="H25" s="24">
        <v>0.34</v>
      </c>
      <c r="I25" s="24">
        <v>0</v>
      </c>
      <c r="J25" s="24">
        <v>0</v>
      </c>
      <c r="K25" s="24">
        <v>0</v>
      </c>
      <c r="L25" s="24">
        <v>0</v>
      </c>
      <c r="M25" s="25">
        <v>0</v>
      </c>
      <c r="N25" s="25">
        <v>0</v>
      </c>
      <c r="O25" s="25">
        <v>0</v>
      </c>
      <c r="P25" s="25">
        <v>0</v>
      </c>
      <c r="Q25" s="25">
        <v>0</v>
      </c>
      <c r="R25" s="25">
        <v>0</v>
      </c>
      <c r="S25" s="25">
        <v>0</v>
      </c>
      <c r="T25" s="24">
        <v>0</v>
      </c>
      <c r="U25" s="24">
        <v>0</v>
      </c>
      <c r="V25" s="153">
        <v>1</v>
      </c>
      <c r="W25" s="153">
        <v>0</v>
      </c>
      <c r="X25" s="153">
        <v>0</v>
      </c>
      <c r="Y25" s="153">
        <v>0</v>
      </c>
      <c r="Z25" s="56" t="s">
        <v>145</v>
      </c>
      <c r="AA25" s="153">
        <v>845</v>
      </c>
    </row>
    <row r="26" spans="1:27" x14ac:dyDescent="0.25">
      <c r="A26" s="22">
        <f t="shared" si="0"/>
        <v>25</v>
      </c>
      <c r="B26" s="23" t="s">
        <v>146</v>
      </c>
      <c r="C26" s="22" t="s">
        <v>131</v>
      </c>
      <c r="D26" s="22">
        <v>1.1000000000000001</v>
      </c>
      <c r="E26" s="24">
        <v>0</v>
      </c>
      <c r="F26" s="24">
        <v>0</v>
      </c>
      <c r="G26" s="24">
        <v>0.1085</v>
      </c>
      <c r="H26" s="24">
        <v>0</v>
      </c>
      <c r="I26" s="24">
        <v>0</v>
      </c>
      <c r="J26" s="24">
        <v>0</v>
      </c>
      <c r="K26" s="24">
        <v>0</v>
      </c>
      <c r="L26" s="24">
        <v>0</v>
      </c>
      <c r="M26" s="25">
        <v>0</v>
      </c>
      <c r="N26" s="25">
        <v>0</v>
      </c>
      <c r="O26" s="25">
        <v>0</v>
      </c>
      <c r="P26" s="25">
        <v>0</v>
      </c>
      <c r="Q26" s="25">
        <v>0</v>
      </c>
      <c r="R26" s="25">
        <v>0</v>
      </c>
      <c r="S26" s="25">
        <v>0</v>
      </c>
      <c r="T26" s="24">
        <v>0</v>
      </c>
      <c r="U26" s="24">
        <v>0</v>
      </c>
      <c r="V26" s="22">
        <v>3.5</v>
      </c>
      <c r="W26" s="50">
        <v>0</v>
      </c>
      <c r="X26" s="22">
        <v>0</v>
      </c>
      <c r="Y26" s="22">
        <v>0</v>
      </c>
      <c r="Z26" s="153" t="s">
        <v>147</v>
      </c>
      <c r="AA26" s="153">
        <v>290</v>
      </c>
    </row>
    <row r="27" spans="1:27" x14ac:dyDescent="0.25">
      <c r="A27" s="22">
        <f t="shared" si="0"/>
        <v>26</v>
      </c>
      <c r="B27" s="23" t="s">
        <v>148</v>
      </c>
      <c r="C27" s="22" t="s">
        <v>129</v>
      </c>
      <c r="D27" s="22">
        <v>1</v>
      </c>
      <c r="E27" s="24">
        <v>2.5999999999999999E-2</v>
      </c>
      <c r="F27" s="24">
        <v>7.3999999999999996E-2</v>
      </c>
      <c r="G27" s="24">
        <v>0.2</v>
      </c>
      <c r="H27" s="24">
        <v>0.3</v>
      </c>
      <c r="I27" s="24">
        <v>0</v>
      </c>
      <c r="J27" s="24">
        <v>2.7E-2</v>
      </c>
      <c r="K27" s="24">
        <v>0</v>
      </c>
      <c r="L27" s="24">
        <v>0.06</v>
      </c>
      <c r="M27" s="25">
        <v>1E-3</v>
      </c>
      <c r="N27" s="25">
        <v>5.0000000000000001E-4</v>
      </c>
      <c r="O27" s="25">
        <v>4.0000000000000002E-4</v>
      </c>
      <c r="P27" s="25">
        <v>1E-4</v>
      </c>
      <c r="Q27" s="25">
        <v>2.0000000000000001E-4</v>
      </c>
      <c r="R27" s="25">
        <v>1E-4</v>
      </c>
      <c r="S27" s="25">
        <v>0</v>
      </c>
      <c r="T27" s="24">
        <v>0</v>
      </c>
      <c r="U27" s="24">
        <v>0</v>
      </c>
      <c r="V27" s="22">
        <v>1</v>
      </c>
      <c r="W27" s="50">
        <v>1.5</v>
      </c>
      <c r="X27" s="22">
        <v>2</v>
      </c>
      <c r="Y27" s="22">
        <v>0</v>
      </c>
      <c r="Z27" s="56" t="s">
        <v>139</v>
      </c>
      <c r="AA27" s="153">
        <v>1150</v>
      </c>
    </row>
    <row r="28" spans="1:27" x14ac:dyDescent="0.25">
      <c r="A28" s="22">
        <f t="shared" si="0"/>
        <v>27</v>
      </c>
      <c r="B28" s="23" t="s">
        <v>149</v>
      </c>
      <c r="C28" s="22" t="s">
        <v>131</v>
      </c>
      <c r="D28" s="22">
        <v>1.26</v>
      </c>
      <c r="E28" s="24">
        <v>0</v>
      </c>
      <c r="F28" s="24">
        <v>0</v>
      </c>
      <c r="G28" s="24">
        <v>0</v>
      </c>
      <c r="H28" s="24">
        <v>0.08</v>
      </c>
      <c r="I28" s="24">
        <v>0</v>
      </c>
      <c r="J28" s="24">
        <v>0</v>
      </c>
      <c r="K28" s="24">
        <v>0</v>
      </c>
      <c r="L28" s="24">
        <v>0</v>
      </c>
      <c r="M28" s="25">
        <v>0</v>
      </c>
      <c r="N28" s="25">
        <v>0</v>
      </c>
      <c r="O28" s="25">
        <v>0</v>
      </c>
      <c r="P28" s="25">
        <v>0</v>
      </c>
      <c r="Q28" s="25">
        <v>0</v>
      </c>
      <c r="R28" s="25">
        <v>0</v>
      </c>
      <c r="S28" s="25">
        <v>0</v>
      </c>
      <c r="T28" s="24">
        <v>0.21</v>
      </c>
      <c r="U28" s="24">
        <v>0</v>
      </c>
      <c r="V28" s="22">
        <v>0</v>
      </c>
      <c r="W28" s="50">
        <v>0</v>
      </c>
      <c r="X28" s="22">
        <v>0</v>
      </c>
      <c r="Y28" s="22">
        <v>0</v>
      </c>
      <c r="Z28" s="153" t="s">
        <v>150</v>
      </c>
      <c r="AA28" s="153">
        <v>240</v>
      </c>
    </row>
    <row r="29" spans="1:27" x14ac:dyDescent="0.25">
      <c r="A29" s="22">
        <f t="shared" si="0"/>
        <v>28</v>
      </c>
      <c r="B29" s="23" t="s">
        <v>402</v>
      </c>
      <c r="C29" s="22" t="s">
        <v>131</v>
      </c>
      <c r="D29" s="22">
        <v>1.28</v>
      </c>
      <c r="E29" s="24">
        <v>0</v>
      </c>
      <c r="F29" s="24">
        <v>0</v>
      </c>
      <c r="G29" s="24">
        <v>0</v>
      </c>
      <c r="H29" s="24">
        <v>0</v>
      </c>
      <c r="I29" s="24">
        <v>0</v>
      </c>
      <c r="J29" s="24">
        <v>0</v>
      </c>
      <c r="K29" s="24">
        <v>0</v>
      </c>
      <c r="L29" s="24">
        <v>0.36709999999999998</v>
      </c>
      <c r="M29" s="25">
        <v>0</v>
      </c>
      <c r="N29" s="25">
        <v>0</v>
      </c>
      <c r="O29" s="25">
        <v>0</v>
      </c>
      <c r="P29" s="25">
        <v>0</v>
      </c>
      <c r="Q29" s="25">
        <v>0</v>
      </c>
      <c r="R29" s="25">
        <v>0</v>
      </c>
      <c r="S29" s="25">
        <v>0</v>
      </c>
      <c r="T29" s="24">
        <v>0</v>
      </c>
      <c r="U29" s="24">
        <v>0</v>
      </c>
      <c r="V29" s="22">
        <v>0</v>
      </c>
      <c r="W29" s="50">
        <v>2</v>
      </c>
      <c r="X29" s="22">
        <v>0</v>
      </c>
      <c r="Y29" s="22">
        <v>0</v>
      </c>
      <c r="Z29" s="56" t="s">
        <v>151</v>
      </c>
      <c r="AA29" s="153"/>
    </row>
    <row r="30" spans="1:27" x14ac:dyDescent="0.25">
      <c r="A30" s="22">
        <f t="shared" si="0"/>
        <v>29</v>
      </c>
      <c r="B30" s="23" t="s">
        <v>343</v>
      </c>
      <c r="C30" s="22" t="s">
        <v>129</v>
      </c>
      <c r="D30" s="22">
        <v>1</v>
      </c>
      <c r="E30" s="24">
        <v>1.0999999999999999E-2</v>
      </c>
      <c r="F30" s="24">
        <v>0.14899999999999999</v>
      </c>
      <c r="G30" s="24">
        <v>0</v>
      </c>
      <c r="H30" s="24">
        <v>0</v>
      </c>
      <c r="I30" s="24">
        <v>0.26</v>
      </c>
      <c r="J30" s="24">
        <v>0</v>
      </c>
      <c r="K30" s="24">
        <v>0</v>
      </c>
      <c r="L30" s="24">
        <v>0</v>
      </c>
      <c r="M30" s="25">
        <v>0</v>
      </c>
      <c r="N30" s="25">
        <v>0</v>
      </c>
      <c r="O30" s="25">
        <v>0</v>
      </c>
      <c r="P30" s="25">
        <v>0</v>
      </c>
      <c r="Q30" s="25">
        <v>0</v>
      </c>
      <c r="R30" s="25">
        <v>0</v>
      </c>
      <c r="S30" s="25">
        <v>0</v>
      </c>
      <c r="T30" s="24">
        <v>0</v>
      </c>
      <c r="U30" s="24">
        <v>0</v>
      </c>
      <c r="V30" s="22">
        <v>0</v>
      </c>
      <c r="W30" s="50">
        <v>0</v>
      </c>
      <c r="X30" s="22">
        <v>0</v>
      </c>
      <c r="Y30" s="22">
        <v>0</v>
      </c>
      <c r="Z30" s="22" t="s">
        <v>152</v>
      </c>
      <c r="AA30" s="153">
        <v>1210</v>
      </c>
    </row>
    <row r="31" spans="1:27" x14ac:dyDescent="0.25">
      <c r="A31" s="22">
        <f t="shared" si="0"/>
        <v>30</v>
      </c>
      <c r="B31" s="23"/>
      <c r="C31" s="22"/>
      <c r="D31" s="22"/>
      <c r="E31" s="24"/>
      <c r="F31" s="24"/>
      <c r="G31" s="24"/>
      <c r="H31" s="24"/>
      <c r="I31" s="24"/>
      <c r="J31" s="24"/>
      <c r="K31" s="24"/>
      <c r="L31" s="24"/>
      <c r="M31" s="25"/>
      <c r="N31" s="25"/>
      <c r="O31" s="25"/>
      <c r="P31" s="25"/>
      <c r="Q31" s="25"/>
      <c r="R31" s="25"/>
      <c r="S31" s="25"/>
      <c r="T31" s="24"/>
      <c r="U31" s="24"/>
      <c r="V31" s="22"/>
      <c r="W31" s="50"/>
      <c r="X31" s="22"/>
      <c r="Y31" s="22"/>
      <c r="Z31" s="22"/>
      <c r="AA31" s="153"/>
    </row>
    <row r="32" spans="1:27" x14ac:dyDescent="0.25">
      <c r="A32" s="22">
        <f t="shared" si="0"/>
        <v>31</v>
      </c>
      <c r="B32" s="23"/>
      <c r="C32" s="22"/>
      <c r="D32" s="22"/>
      <c r="E32" s="24"/>
      <c r="F32" s="24"/>
      <c r="G32" s="24"/>
      <c r="H32" s="24"/>
      <c r="I32" s="24"/>
      <c r="J32" s="24"/>
      <c r="K32" s="24"/>
      <c r="L32" s="24"/>
      <c r="M32" s="25"/>
      <c r="N32" s="25"/>
      <c r="O32" s="25"/>
      <c r="P32" s="25"/>
      <c r="Q32" s="25"/>
      <c r="R32" s="25"/>
      <c r="S32" s="25"/>
      <c r="T32" s="24"/>
      <c r="U32" s="24"/>
      <c r="V32" s="22"/>
      <c r="W32" s="50"/>
      <c r="X32" s="22"/>
      <c r="Y32" s="22"/>
      <c r="Z32" s="22"/>
      <c r="AA32" s="153"/>
    </row>
    <row r="33" spans="1:27" x14ac:dyDescent="0.25">
      <c r="A33" s="22">
        <f t="shared" si="0"/>
        <v>32</v>
      </c>
      <c r="B33" s="23"/>
      <c r="C33" s="22"/>
      <c r="D33" s="22"/>
      <c r="E33" s="24"/>
      <c r="F33" s="24"/>
      <c r="G33" s="24"/>
      <c r="H33" s="24"/>
      <c r="I33" s="24"/>
      <c r="J33" s="24"/>
      <c r="K33" s="24"/>
      <c r="L33" s="24"/>
      <c r="M33" s="25"/>
      <c r="N33" s="25"/>
      <c r="O33" s="25"/>
      <c r="P33" s="25"/>
      <c r="Q33" s="25"/>
      <c r="R33" s="25"/>
      <c r="S33" s="25"/>
      <c r="T33" s="24"/>
      <c r="U33" s="24"/>
      <c r="V33" s="22"/>
      <c r="W33" s="50"/>
      <c r="X33" s="22"/>
      <c r="Y33" s="22"/>
      <c r="Z33" s="22"/>
      <c r="AA33" s="153"/>
    </row>
    <row r="34" spans="1:27" x14ac:dyDescent="0.25">
      <c r="A34" s="22">
        <f t="shared" ref="A34:A65" si="1">ROW(A33)</f>
        <v>33</v>
      </c>
      <c r="B34" s="23"/>
      <c r="C34" s="22"/>
      <c r="D34" s="22"/>
      <c r="E34" s="24"/>
      <c r="F34" s="24"/>
      <c r="G34" s="24"/>
      <c r="H34" s="24"/>
      <c r="I34" s="24"/>
      <c r="J34" s="24"/>
      <c r="K34" s="24"/>
      <c r="L34" s="24"/>
      <c r="M34" s="25"/>
      <c r="N34" s="25"/>
      <c r="O34" s="25"/>
      <c r="P34" s="25"/>
      <c r="Q34" s="25"/>
      <c r="R34" s="25"/>
      <c r="S34" s="25"/>
      <c r="T34" s="24"/>
      <c r="U34" s="24"/>
      <c r="V34" s="22"/>
      <c r="W34" s="50"/>
      <c r="X34" s="22"/>
      <c r="Y34" s="22"/>
      <c r="Z34" s="22"/>
      <c r="AA34" s="153"/>
    </row>
    <row r="35" spans="1:27" x14ac:dyDescent="0.25">
      <c r="A35" s="22">
        <f t="shared" si="1"/>
        <v>34</v>
      </c>
      <c r="B35" s="23"/>
      <c r="C35" s="22"/>
      <c r="D35" s="22"/>
      <c r="E35" s="24"/>
      <c r="F35" s="24"/>
      <c r="G35" s="24"/>
      <c r="H35" s="24"/>
      <c r="I35" s="24"/>
      <c r="J35" s="24"/>
      <c r="K35" s="24"/>
      <c r="L35" s="24"/>
      <c r="M35" s="25"/>
      <c r="N35" s="25"/>
      <c r="O35" s="25"/>
      <c r="P35" s="25"/>
      <c r="Q35" s="25"/>
      <c r="R35" s="25"/>
      <c r="S35" s="25"/>
      <c r="T35" s="24"/>
      <c r="U35" s="24"/>
      <c r="V35" s="22"/>
      <c r="W35" s="50"/>
      <c r="X35" s="22"/>
      <c r="Y35" s="22"/>
      <c r="Z35" s="22"/>
      <c r="AA35" s="153"/>
    </row>
    <row r="36" spans="1:27" x14ac:dyDescent="0.25">
      <c r="A36" s="22">
        <f t="shared" si="1"/>
        <v>35</v>
      </c>
      <c r="B36" s="23"/>
      <c r="C36" s="22"/>
      <c r="D36" s="22"/>
      <c r="E36" s="24"/>
      <c r="F36" s="24"/>
      <c r="G36" s="24"/>
      <c r="H36" s="24"/>
      <c r="I36" s="24"/>
      <c r="J36" s="24"/>
      <c r="K36" s="24"/>
      <c r="L36" s="24"/>
      <c r="M36" s="25"/>
      <c r="N36" s="25"/>
      <c r="O36" s="25"/>
      <c r="P36" s="25"/>
      <c r="Q36" s="25"/>
      <c r="R36" s="25"/>
      <c r="S36" s="25"/>
      <c r="T36" s="24"/>
      <c r="U36" s="24"/>
      <c r="V36" s="22"/>
      <c r="W36" s="50"/>
      <c r="X36" s="22"/>
      <c r="Y36" s="22"/>
      <c r="Z36" s="22"/>
      <c r="AA36" s="153"/>
    </row>
    <row r="37" spans="1:27" x14ac:dyDescent="0.25">
      <c r="A37" s="22">
        <f t="shared" si="1"/>
        <v>36</v>
      </c>
      <c r="B37" s="23"/>
      <c r="C37" s="22"/>
      <c r="D37" s="22"/>
      <c r="E37" s="24"/>
      <c r="F37" s="24"/>
      <c r="G37" s="24"/>
      <c r="H37" s="24"/>
      <c r="I37" s="24"/>
      <c r="J37" s="24"/>
      <c r="K37" s="24"/>
      <c r="L37" s="24"/>
      <c r="M37" s="25"/>
      <c r="N37" s="25"/>
      <c r="O37" s="25"/>
      <c r="P37" s="25"/>
      <c r="Q37" s="25"/>
      <c r="R37" s="25"/>
      <c r="S37" s="25"/>
      <c r="T37" s="24"/>
      <c r="U37" s="24"/>
      <c r="V37" s="22"/>
      <c r="W37" s="50"/>
      <c r="X37" s="22"/>
      <c r="Y37" s="22"/>
      <c r="Z37" s="22"/>
      <c r="AA37" s="153"/>
    </row>
    <row r="38" spans="1:27" x14ac:dyDescent="0.25">
      <c r="A38" s="22">
        <f t="shared" si="1"/>
        <v>37</v>
      </c>
      <c r="B38" s="23"/>
      <c r="C38" s="22"/>
      <c r="D38" s="22"/>
      <c r="E38" s="24"/>
      <c r="F38" s="24"/>
      <c r="G38" s="24"/>
      <c r="H38" s="24"/>
      <c r="I38" s="24"/>
      <c r="J38" s="24"/>
      <c r="K38" s="24"/>
      <c r="L38" s="24"/>
      <c r="M38" s="25"/>
      <c r="N38" s="25"/>
      <c r="O38" s="25"/>
      <c r="P38" s="25"/>
      <c r="Q38" s="25"/>
      <c r="R38" s="25"/>
      <c r="S38" s="25"/>
      <c r="T38" s="24"/>
      <c r="U38" s="24"/>
      <c r="V38" s="22"/>
      <c r="W38" s="50"/>
      <c r="X38" s="22"/>
      <c r="Y38" s="22"/>
      <c r="Z38" s="22"/>
      <c r="AA38" s="153"/>
    </row>
    <row r="39" spans="1:27" x14ac:dyDescent="0.25">
      <c r="A39" s="22">
        <f t="shared" si="1"/>
        <v>38</v>
      </c>
      <c r="B39" s="23"/>
      <c r="C39" s="22"/>
      <c r="D39" s="22"/>
      <c r="E39" s="24"/>
      <c r="F39" s="24"/>
      <c r="G39" s="24"/>
      <c r="H39" s="24"/>
      <c r="I39" s="24"/>
      <c r="J39" s="24"/>
      <c r="K39" s="24"/>
      <c r="L39" s="24"/>
      <c r="M39" s="25"/>
      <c r="N39" s="25"/>
      <c r="O39" s="25"/>
      <c r="P39" s="25"/>
      <c r="Q39" s="25"/>
      <c r="R39" s="25"/>
      <c r="S39" s="25"/>
      <c r="T39" s="24"/>
      <c r="U39" s="24"/>
      <c r="V39" s="22"/>
      <c r="W39" s="50"/>
      <c r="X39" s="22"/>
      <c r="Y39" s="22"/>
      <c r="Z39" s="22"/>
      <c r="AA39" s="153"/>
    </row>
    <row r="40" spans="1:27" x14ac:dyDescent="0.25">
      <c r="A40" s="22">
        <f t="shared" si="1"/>
        <v>39</v>
      </c>
      <c r="B40" s="23"/>
      <c r="C40" s="22"/>
      <c r="D40" s="22"/>
      <c r="E40" s="24"/>
      <c r="F40" s="24"/>
      <c r="G40" s="24"/>
      <c r="H40" s="24"/>
      <c r="I40" s="24"/>
      <c r="J40" s="24"/>
      <c r="K40" s="24"/>
      <c r="L40" s="24"/>
      <c r="M40" s="25"/>
      <c r="N40" s="25"/>
      <c r="O40" s="25"/>
      <c r="P40" s="25"/>
      <c r="Q40" s="25"/>
      <c r="R40" s="25"/>
      <c r="S40" s="25"/>
      <c r="T40" s="24"/>
      <c r="U40" s="24"/>
      <c r="V40" s="22"/>
      <c r="W40" s="50"/>
      <c r="X40" s="22"/>
      <c r="Y40" s="22"/>
      <c r="Z40" s="22"/>
      <c r="AA40" s="153"/>
    </row>
    <row r="41" spans="1:27" x14ac:dyDescent="0.25">
      <c r="A41" s="22">
        <f t="shared" si="1"/>
        <v>40</v>
      </c>
      <c r="B41" s="23"/>
      <c r="C41" s="22"/>
      <c r="D41" s="22"/>
      <c r="E41" s="24"/>
      <c r="F41" s="24"/>
      <c r="G41" s="24"/>
      <c r="H41" s="24"/>
      <c r="I41" s="24"/>
      <c r="J41" s="24"/>
      <c r="K41" s="24"/>
      <c r="L41" s="24"/>
      <c r="M41" s="25"/>
      <c r="N41" s="25"/>
      <c r="O41" s="25"/>
      <c r="P41" s="25"/>
      <c r="Q41" s="25"/>
      <c r="R41" s="25"/>
      <c r="S41" s="25"/>
      <c r="T41" s="24"/>
      <c r="U41" s="24"/>
      <c r="V41" s="22"/>
      <c r="W41" s="50"/>
      <c r="X41" s="22"/>
      <c r="Y41" s="22"/>
      <c r="Z41" s="22"/>
      <c r="AA41" s="153"/>
    </row>
    <row r="42" spans="1:27" x14ac:dyDescent="0.25">
      <c r="A42" s="22">
        <f t="shared" si="1"/>
        <v>41</v>
      </c>
      <c r="B42" s="23"/>
      <c r="C42" s="22"/>
      <c r="D42" s="22"/>
      <c r="E42" s="24"/>
      <c r="F42" s="24"/>
      <c r="G42" s="24"/>
      <c r="H42" s="24"/>
      <c r="I42" s="24"/>
      <c r="J42" s="24"/>
      <c r="K42" s="24"/>
      <c r="L42" s="24"/>
      <c r="M42" s="25"/>
      <c r="N42" s="25"/>
      <c r="O42" s="25"/>
      <c r="P42" s="25"/>
      <c r="Q42" s="25"/>
      <c r="R42" s="25"/>
      <c r="S42" s="25"/>
      <c r="T42" s="24"/>
      <c r="U42" s="24"/>
      <c r="V42" s="22"/>
      <c r="W42" s="50"/>
      <c r="X42" s="22"/>
      <c r="Y42" s="22"/>
      <c r="Z42" s="22"/>
      <c r="AA42" s="153"/>
    </row>
    <row r="43" spans="1:27" x14ac:dyDescent="0.25">
      <c r="A43" s="22">
        <f t="shared" si="1"/>
        <v>42</v>
      </c>
      <c r="B43" s="23"/>
      <c r="C43" s="22"/>
      <c r="D43" s="22"/>
      <c r="E43" s="24"/>
      <c r="F43" s="24"/>
      <c r="G43" s="24"/>
      <c r="H43" s="24"/>
      <c r="I43" s="24"/>
      <c r="J43" s="24"/>
      <c r="K43" s="24"/>
      <c r="L43" s="24"/>
      <c r="M43" s="25"/>
      <c r="N43" s="25"/>
      <c r="O43" s="25"/>
      <c r="P43" s="25"/>
      <c r="Q43" s="25"/>
      <c r="R43" s="25"/>
      <c r="S43" s="25"/>
      <c r="T43" s="24"/>
      <c r="U43" s="24"/>
      <c r="V43" s="22"/>
      <c r="W43" s="50"/>
      <c r="X43" s="22"/>
      <c r="Y43" s="22"/>
      <c r="Z43" s="22"/>
      <c r="AA43" s="153"/>
    </row>
    <row r="44" spans="1:27" x14ac:dyDescent="0.25">
      <c r="A44" s="22">
        <f t="shared" si="1"/>
        <v>43</v>
      </c>
      <c r="B44" s="23"/>
      <c r="C44" s="22"/>
      <c r="D44" s="22"/>
      <c r="E44" s="24"/>
      <c r="F44" s="24"/>
      <c r="G44" s="24"/>
      <c r="H44" s="24"/>
      <c r="I44" s="24"/>
      <c r="J44" s="24"/>
      <c r="K44" s="24"/>
      <c r="L44" s="24"/>
      <c r="M44" s="25"/>
      <c r="N44" s="25"/>
      <c r="O44" s="25"/>
      <c r="P44" s="25"/>
      <c r="Q44" s="25"/>
      <c r="R44" s="25"/>
      <c r="S44" s="25"/>
      <c r="T44" s="24"/>
      <c r="U44" s="24"/>
      <c r="V44" s="22"/>
      <c r="W44" s="50"/>
      <c r="X44" s="22"/>
      <c r="Y44" s="22"/>
      <c r="Z44" s="22"/>
      <c r="AA44" s="153"/>
    </row>
    <row r="45" spans="1:27" x14ac:dyDescent="0.25">
      <c r="A45" s="22">
        <f t="shared" si="1"/>
        <v>44</v>
      </c>
      <c r="B45" s="23"/>
      <c r="C45" s="22"/>
      <c r="D45" s="22"/>
      <c r="E45" s="24"/>
      <c r="F45" s="24"/>
      <c r="G45" s="24"/>
      <c r="H45" s="24"/>
      <c r="I45" s="24"/>
      <c r="J45" s="24"/>
      <c r="K45" s="24"/>
      <c r="L45" s="24"/>
      <c r="M45" s="25"/>
      <c r="N45" s="25"/>
      <c r="O45" s="25"/>
      <c r="P45" s="25"/>
      <c r="Q45" s="25"/>
      <c r="R45" s="25"/>
      <c r="S45" s="25"/>
      <c r="T45" s="24"/>
      <c r="U45" s="24"/>
      <c r="V45" s="22"/>
      <c r="W45" s="50"/>
      <c r="X45" s="22"/>
      <c r="Y45" s="22"/>
      <c r="Z45" s="22"/>
      <c r="AA45" s="153"/>
    </row>
    <row r="46" spans="1:27" x14ac:dyDescent="0.25">
      <c r="A46" s="22">
        <f t="shared" si="1"/>
        <v>45</v>
      </c>
      <c r="B46" s="23"/>
      <c r="C46" s="22"/>
      <c r="D46" s="22"/>
      <c r="E46" s="24"/>
      <c r="F46" s="24"/>
      <c r="G46" s="24"/>
      <c r="H46" s="24"/>
      <c r="I46" s="24"/>
      <c r="J46" s="24"/>
      <c r="K46" s="24"/>
      <c r="L46" s="24"/>
      <c r="M46" s="25"/>
      <c r="N46" s="25"/>
      <c r="O46" s="25"/>
      <c r="P46" s="25"/>
      <c r="Q46" s="25"/>
      <c r="R46" s="25"/>
      <c r="S46" s="25"/>
      <c r="T46" s="24"/>
      <c r="U46" s="24"/>
      <c r="V46" s="22"/>
      <c r="W46" s="50"/>
      <c r="X46" s="22"/>
      <c r="Y46" s="22"/>
      <c r="Z46" s="22"/>
      <c r="AA46" s="153"/>
    </row>
    <row r="47" spans="1:27" x14ac:dyDescent="0.25">
      <c r="A47" s="22">
        <f t="shared" si="1"/>
        <v>46</v>
      </c>
      <c r="B47" s="23"/>
      <c r="C47" s="22"/>
      <c r="D47" s="22"/>
      <c r="E47" s="24"/>
      <c r="F47" s="24"/>
      <c r="G47" s="24"/>
      <c r="H47" s="24"/>
      <c r="I47" s="24"/>
      <c r="J47" s="24"/>
      <c r="K47" s="24"/>
      <c r="L47" s="24"/>
      <c r="M47" s="25"/>
      <c r="N47" s="25"/>
      <c r="O47" s="25"/>
      <c r="P47" s="25"/>
      <c r="Q47" s="25"/>
      <c r="R47" s="25"/>
      <c r="S47" s="25"/>
      <c r="T47" s="24"/>
      <c r="U47" s="24"/>
      <c r="V47" s="22"/>
      <c r="W47" s="50"/>
      <c r="X47" s="22"/>
      <c r="Y47" s="22"/>
      <c r="Z47" s="22"/>
      <c r="AA47" s="153"/>
    </row>
    <row r="48" spans="1:27" x14ac:dyDescent="0.25">
      <c r="A48" s="22">
        <f t="shared" si="1"/>
        <v>47</v>
      </c>
      <c r="B48" s="23"/>
      <c r="C48" s="22"/>
      <c r="D48" s="22"/>
      <c r="E48" s="24"/>
      <c r="F48" s="24"/>
      <c r="G48" s="24"/>
      <c r="H48" s="24"/>
      <c r="I48" s="24"/>
      <c r="J48" s="24"/>
      <c r="K48" s="24"/>
      <c r="L48" s="24"/>
      <c r="M48" s="25"/>
      <c r="N48" s="25"/>
      <c r="O48" s="25"/>
      <c r="P48" s="25"/>
      <c r="Q48" s="25"/>
      <c r="R48" s="25"/>
      <c r="S48" s="25"/>
      <c r="T48" s="24"/>
      <c r="U48" s="24"/>
      <c r="V48" s="22"/>
      <c r="W48" s="50"/>
      <c r="X48" s="22"/>
      <c r="Y48" s="22"/>
      <c r="Z48" s="22"/>
      <c r="AA48" s="153"/>
    </row>
    <row r="49" spans="1:27" x14ac:dyDescent="0.25">
      <c r="A49" s="22">
        <f t="shared" si="1"/>
        <v>48</v>
      </c>
      <c r="B49" s="23"/>
      <c r="C49" s="22"/>
      <c r="D49" s="22"/>
      <c r="E49" s="24"/>
      <c r="F49" s="24"/>
      <c r="G49" s="24"/>
      <c r="H49" s="24"/>
      <c r="I49" s="24"/>
      <c r="J49" s="24"/>
      <c r="K49" s="24"/>
      <c r="L49" s="24"/>
      <c r="M49" s="25"/>
      <c r="N49" s="25"/>
      <c r="O49" s="25"/>
      <c r="P49" s="25"/>
      <c r="Q49" s="25"/>
      <c r="R49" s="25"/>
      <c r="S49" s="25"/>
      <c r="T49" s="24"/>
      <c r="U49" s="24"/>
      <c r="V49" s="22"/>
      <c r="W49" s="50"/>
      <c r="X49" s="22"/>
      <c r="Y49" s="22"/>
      <c r="Z49" s="22"/>
      <c r="AA49" s="153"/>
    </row>
    <row r="50" spans="1:27" x14ac:dyDescent="0.25">
      <c r="A50" s="22">
        <f t="shared" si="1"/>
        <v>49</v>
      </c>
      <c r="B50" s="23"/>
      <c r="C50" s="22"/>
      <c r="D50" s="22"/>
      <c r="E50" s="24"/>
      <c r="F50" s="24"/>
      <c r="G50" s="24"/>
      <c r="H50" s="24"/>
      <c r="I50" s="24"/>
      <c r="J50" s="24"/>
      <c r="K50" s="24"/>
      <c r="L50" s="24"/>
      <c r="M50" s="25"/>
      <c r="N50" s="25"/>
      <c r="O50" s="25"/>
      <c r="P50" s="25"/>
      <c r="Q50" s="25"/>
      <c r="R50" s="25"/>
      <c r="S50" s="25"/>
      <c r="T50" s="24"/>
      <c r="U50" s="24"/>
      <c r="V50" s="22"/>
      <c r="W50" s="50"/>
      <c r="X50" s="22"/>
      <c r="Y50" s="22"/>
      <c r="Z50" s="22"/>
      <c r="AA50" s="153"/>
    </row>
    <row r="51" spans="1:27" x14ac:dyDescent="0.25">
      <c r="A51" s="22">
        <f t="shared" si="1"/>
        <v>50</v>
      </c>
      <c r="B51" s="23"/>
      <c r="C51" s="22"/>
      <c r="D51" s="22"/>
      <c r="E51" s="24"/>
      <c r="F51" s="24"/>
      <c r="G51" s="24"/>
      <c r="H51" s="24"/>
      <c r="I51" s="24"/>
      <c r="J51" s="24"/>
      <c r="K51" s="24"/>
      <c r="L51" s="24"/>
      <c r="M51" s="25"/>
      <c r="N51" s="25"/>
      <c r="O51" s="25"/>
      <c r="P51" s="25"/>
      <c r="Q51" s="25"/>
      <c r="R51" s="25"/>
      <c r="S51" s="25"/>
      <c r="T51" s="24"/>
      <c r="U51" s="24"/>
      <c r="V51" s="22"/>
      <c r="W51" s="50"/>
      <c r="X51" s="22"/>
      <c r="Y51" s="22"/>
      <c r="Z51" s="22"/>
      <c r="AA51" s="153"/>
    </row>
    <row r="52" spans="1:27" x14ac:dyDescent="0.25">
      <c r="A52" s="22">
        <f t="shared" si="1"/>
        <v>51</v>
      </c>
      <c r="B52" s="23"/>
      <c r="C52" s="22"/>
      <c r="D52" s="22"/>
      <c r="E52" s="24"/>
      <c r="F52" s="24"/>
      <c r="G52" s="24"/>
      <c r="H52" s="24"/>
      <c r="I52" s="24"/>
      <c r="J52" s="24"/>
      <c r="K52" s="24"/>
      <c r="L52" s="24"/>
      <c r="M52" s="25"/>
      <c r="N52" s="25"/>
      <c r="O52" s="25"/>
      <c r="P52" s="25"/>
      <c r="Q52" s="25"/>
      <c r="R52" s="25"/>
      <c r="S52" s="25"/>
      <c r="T52" s="24"/>
      <c r="U52" s="24"/>
      <c r="V52" s="22"/>
      <c r="W52" s="50"/>
      <c r="X52" s="22"/>
      <c r="Y52" s="22"/>
      <c r="Z52" s="22"/>
      <c r="AA52" s="153"/>
    </row>
    <row r="53" spans="1:27" x14ac:dyDescent="0.25">
      <c r="A53" s="22">
        <f t="shared" si="1"/>
        <v>52</v>
      </c>
      <c r="B53" s="23"/>
      <c r="C53" s="22"/>
      <c r="D53" s="22"/>
      <c r="E53" s="24"/>
      <c r="F53" s="24"/>
      <c r="G53" s="24"/>
      <c r="H53" s="24"/>
      <c r="I53" s="24"/>
      <c r="J53" s="24"/>
      <c r="K53" s="24"/>
      <c r="L53" s="24"/>
      <c r="M53" s="25"/>
      <c r="N53" s="25"/>
      <c r="O53" s="25"/>
      <c r="P53" s="25"/>
      <c r="Q53" s="25"/>
      <c r="R53" s="25"/>
      <c r="S53" s="25"/>
      <c r="T53" s="24"/>
      <c r="U53" s="24"/>
      <c r="V53" s="22"/>
      <c r="W53" s="50"/>
      <c r="X53" s="22"/>
      <c r="Y53" s="22"/>
      <c r="Z53" s="22"/>
      <c r="AA53" s="153"/>
    </row>
    <row r="54" spans="1:27" x14ac:dyDescent="0.25">
      <c r="A54" s="22">
        <f t="shared" si="1"/>
        <v>53</v>
      </c>
      <c r="B54" s="23"/>
      <c r="C54" s="22"/>
      <c r="D54" s="22"/>
      <c r="E54" s="24"/>
      <c r="F54" s="24"/>
      <c r="G54" s="24"/>
      <c r="H54" s="24"/>
      <c r="I54" s="24"/>
      <c r="J54" s="24"/>
      <c r="K54" s="24"/>
      <c r="L54" s="24"/>
      <c r="M54" s="25"/>
      <c r="N54" s="25"/>
      <c r="O54" s="25"/>
      <c r="P54" s="25"/>
      <c r="Q54" s="25"/>
      <c r="R54" s="25"/>
      <c r="S54" s="25"/>
      <c r="T54" s="24"/>
      <c r="U54" s="24"/>
      <c r="V54" s="22"/>
      <c r="W54" s="50"/>
      <c r="X54" s="22"/>
      <c r="Y54" s="22"/>
      <c r="Z54" s="22"/>
      <c r="AA54" s="153"/>
    </row>
    <row r="55" spans="1:27" x14ac:dyDescent="0.25">
      <c r="A55" s="22">
        <f t="shared" si="1"/>
        <v>54</v>
      </c>
      <c r="B55" s="23"/>
      <c r="C55" s="22"/>
      <c r="D55" s="22"/>
      <c r="E55" s="24"/>
      <c r="F55" s="24"/>
      <c r="G55" s="24"/>
      <c r="H55" s="24"/>
      <c r="I55" s="24"/>
      <c r="J55" s="24"/>
      <c r="K55" s="24"/>
      <c r="L55" s="24"/>
      <c r="M55" s="25"/>
      <c r="N55" s="25"/>
      <c r="O55" s="25"/>
      <c r="P55" s="25"/>
      <c r="Q55" s="25"/>
      <c r="R55" s="25"/>
      <c r="S55" s="25"/>
      <c r="T55" s="24"/>
      <c r="U55" s="24"/>
      <c r="V55" s="22"/>
      <c r="W55" s="50"/>
      <c r="X55" s="22"/>
      <c r="Y55" s="22"/>
      <c r="Z55" s="22"/>
      <c r="AA55" s="153"/>
    </row>
    <row r="56" spans="1:27" x14ac:dyDescent="0.25">
      <c r="A56" s="22">
        <f t="shared" si="1"/>
        <v>55</v>
      </c>
      <c r="B56" s="23"/>
      <c r="C56" s="22"/>
      <c r="D56" s="22"/>
      <c r="E56" s="24"/>
      <c r="F56" s="24"/>
      <c r="G56" s="24"/>
      <c r="H56" s="24"/>
      <c r="I56" s="24"/>
      <c r="J56" s="24"/>
      <c r="K56" s="24"/>
      <c r="L56" s="24"/>
      <c r="M56" s="25"/>
      <c r="N56" s="25"/>
      <c r="O56" s="25"/>
      <c r="P56" s="25"/>
      <c r="Q56" s="25"/>
      <c r="R56" s="25"/>
      <c r="S56" s="25"/>
      <c r="T56" s="24"/>
      <c r="U56" s="24"/>
      <c r="V56" s="22"/>
      <c r="W56" s="50"/>
      <c r="X56" s="22"/>
      <c r="Y56" s="22"/>
      <c r="Z56" s="22"/>
      <c r="AA56" s="153"/>
    </row>
    <row r="57" spans="1:27" x14ac:dyDescent="0.25">
      <c r="A57" s="22">
        <f t="shared" si="1"/>
        <v>56</v>
      </c>
      <c r="B57" s="23"/>
      <c r="C57" s="22"/>
      <c r="D57" s="22"/>
      <c r="E57" s="24"/>
      <c r="F57" s="24"/>
      <c r="G57" s="24"/>
      <c r="H57" s="24"/>
      <c r="I57" s="24"/>
      <c r="J57" s="24"/>
      <c r="K57" s="24"/>
      <c r="L57" s="24"/>
      <c r="M57" s="25"/>
      <c r="N57" s="25"/>
      <c r="O57" s="25"/>
      <c r="P57" s="25"/>
      <c r="Q57" s="25"/>
      <c r="R57" s="25"/>
      <c r="S57" s="25"/>
      <c r="T57" s="24"/>
      <c r="U57" s="24"/>
      <c r="V57" s="22"/>
      <c r="W57" s="50"/>
      <c r="X57" s="22"/>
      <c r="Y57" s="22"/>
      <c r="Z57" s="22"/>
      <c r="AA57" s="153"/>
    </row>
    <row r="58" spans="1:27" x14ac:dyDescent="0.25">
      <c r="A58" s="22">
        <f t="shared" si="1"/>
        <v>57</v>
      </c>
      <c r="B58" s="23"/>
      <c r="C58" s="22"/>
      <c r="D58" s="22"/>
      <c r="E58" s="24"/>
      <c r="F58" s="24"/>
      <c r="G58" s="24"/>
      <c r="H58" s="24"/>
      <c r="I58" s="24"/>
      <c r="J58" s="24"/>
      <c r="K58" s="24"/>
      <c r="L58" s="24"/>
      <c r="M58" s="25"/>
      <c r="N58" s="25"/>
      <c r="O58" s="25"/>
      <c r="P58" s="25"/>
      <c r="Q58" s="25"/>
      <c r="R58" s="25"/>
      <c r="S58" s="25"/>
      <c r="T58" s="24"/>
      <c r="U58" s="24"/>
      <c r="V58" s="22"/>
      <c r="W58" s="50"/>
      <c r="X58" s="22"/>
      <c r="Y58" s="22"/>
      <c r="Z58" s="22"/>
      <c r="AA58" s="153"/>
    </row>
    <row r="59" spans="1:27" x14ac:dyDescent="0.25">
      <c r="A59" s="22">
        <f t="shared" si="1"/>
        <v>58</v>
      </c>
      <c r="B59" s="23"/>
      <c r="C59" s="22"/>
      <c r="D59" s="22"/>
      <c r="E59" s="24"/>
      <c r="F59" s="24"/>
      <c r="G59" s="24"/>
      <c r="H59" s="24"/>
      <c r="I59" s="24"/>
      <c r="J59" s="24"/>
      <c r="K59" s="24"/>
      <c r="L59" s="24"/>
      <c r="M59" s="25"/>
      <c r="N59" s="25"/>
      <c r="O59" s="25"/>
      <c r="P59" s="25"/>
      <c r="Q59" s="25"/>
      <c r="R59" s="25"/>
      <c r="S59" s="25"/>
      <c r="T59" s="24"/>
      <c r="U59" s="24"/>
      <c r="V59" s="22"/>
      <c r="W59" s="50"/>
      <c r="X59" s="22"/>
      <c r="Y59" s="22"/>
      <c r="Z59" s="22"/>
      <c r="AA59" s="153"/>
    </row>
    <row r="60" spans="1:27" x14ac:dyDescent="0.25">
      <c r="A60" s="22">
        <f t="shared" si="1"/>
        <v>59</v>
      </c>
      <c r="B60" s="23"/>
      <c r="C60" s="22"/>
      <c r="D60" s="22"/>
      <c r="E60" s="24"/>
      <c r="F60" s="24"/>
      <c r="G60" s="24"/>
      <c r="H60" s="24"/>
      <c r="I60" s="24"/>
      <c r="J60" s="24"/>
      <c r="K60" s="24"/>
      <c r="L60" s="24"/>
      <c r="M60" s="25"/>
      <c r="N60" s="25"/>
      <c r="O60" s="25"/>
      <c r="P60" s="25"/>
      <c r="Q60" s="25"/>
      <c r="R60" s="25"/>
      <c r="S60" s="25"/>
      <c r="T60" s="24"/>
      <c r="U60" s="24"/>
      <c r="V60" s="22"/>
      <c r="W60" s="50"/>
      <c r="X60" s="22"/>
      <c r="Y60" s="22"/>
      <c r="Z60" s="22"/>
      <c r="AA60" s="153"/>
    </row>
    <row r="61" spans="1:27" x14ac:dyDescent="0.25">
      <c r="A61" s="22">
        <f t="shared" si="1"/>
        <v>60</v>
      </c>
      <c r="B61" s="23"/>
      <c r="C61" s="22"/>
      <c r="D61" s="22"/>
      <c r="E61" s="24"/>
      <c r="F61" s="24"/>
      <c r="G61" s="24"/>
      <c r="H61" s="24"/>
      <c r="I61" s="24"/>
      <c r="J61" s="24"/>
      <c r="K61" s="24"/>
      <c r="L61" s="24"/>
      <c r="M61" s="25"/>
      <c r="N61" s="25"/>
      <c r="O61" s="25"/>
      <c r="P61" s="25"/>
      <c r="Q61" s="25"/>
      <c r="R61" s="25"/>
      <c r="S61" s="25"/>
      <c r="T61" s="24"/>
      <c r="U61" s="24"/>
      <c r="V61" s="22"/>
      <c r="W61" s="50"/>
      <c r="X61" s="22"/>
      <c r="Y61" s="22"/>
      <c r="Z61" s="22"/>
      <c r="AA61" s="153"/>
    </row>
    <row r="62" spans="1:27" x14ac:dyDescent="0.25">
      <c r="A62" s="22">
        <f t="shared" si="1"/>
        <v>61</v>
      </c>
      <c r="B62" s="23"/>
      <c r="C62" s="22"/>
      <c r="D62" s="22"/>
      <c r="E62" s="24"/>
      <c r="F62" s="24"/>
      <c r="G62" s="24"/>
      <c r="H62" s="24"/>
      <c r="I62" s="24"/>
      <c r="J62" s="24"/>
      <c r="K62" s="24"/>
      <c r="L62" s="24"/>
      <c r="M62" s="25"/>
      <c r="N62" s="25"/>
      <c r="O62" s="25"/>
      <c r="P62" s="25"/>
      <c r="Q62" s="25"/>
      <c r="R62" s="25"/>
      <c r="S62" s="25"/>
      <c r="T62" s="24"/>
      <c r="U62" s="24"/>
      <c r="V62" s="22"/>
      <c r="W62" s="50"/>
      <c r="X62" s="22"/>
      <c r="Y62" s="22"/>
      <c r="Z62" s="22"/>
      <c r="AA62" s="153"/>
    </row>
    <row r="63" spans="1:27" x14ac:dyDescent="0.25">
      <c r="A63" s="22">
        <f t="shared" si="1"/>
        <v>62</v>
      </c>
      <c r="B63" s="23"/>
      <c r="C63" s="22"/>
      <c r="D63" s="22"/>
      <c r="E63" s="24"/>
      <c r="F63" s="24"/>
      <c r="G63" s="24"/>
      <c r="H63" s="24"/>
      <c r="I63" s="24"/>
      <c r="J63" s="24"/>
      <c r="K63" s="24"/>
      <c r="L63" s="24"/>
      <c r="M63" s="25"/>
      <c r="N63" s="25"/>
      <c r="O63" s="25"/>
      <c r="P63" s="25"/>
      <c r="Q63" s="25"/>
      <c r="R63" s="25"/>
      <c r="S63" s="25"/>
      <c r="T63" s="24"/>
      <c r="U63" s="24"/>
      <c r="V63" s="22"/>
      <c r="W63" s="50"/>
      <c r="X63" s="22"/>
      <c r="Y63" s="22"/>
      <c r="Z63" s="22"/>
      <c r="AA63" s="153"/>
    </row>
    <row r="64" spans="1:27" x14ac:dyDescent="0.25">
      <c r="A64" s="22">
        <f t="shared" si="1"/>
        <v>63</v>
      </c>
      <c r="B64" s="23"/>
      <c r="C64" s="22"/>
      <c r="D64" s="22"/>
      <c r="E64" s="24"/>
      <c r="F64" s="24"/>
      <c r="G64" s="24"/>
      <c r="H64" s="24"/>
      <c r="I64" s="24"/>
      <c r="J64" s="24"/>
      <c r="K64" s="24"/>
      <c r="L64" s="24"/>
      <c r="M64" s="25"/>
      <c r="N64" s="25"/>
      <c r="O64" s="25"/>
      <c r="P64" s="25"/>
      <c r="Q64" s="25"/>
      <c r="R64" s="25"/>
      <c r="S64" s="25"/>
      <c r="T64" s="24"/>
      <c r="U64" s="24"/>
      <c r="V64" s="22"/>
      <c r="W64" s="50"/>
      <c r="X64" s="22"/>
      <c r="Y64" s="22"/>
      <c r="Z64" s="22"/>
      <c r="AA64" s="153"/>
    </row>
    <row r="65" spans="1:27" x14ac:dyDescent="0.25">
      <c r="A65" s="22">
        <f t="shared" si="1"/>
        <v>64</v>
      </c>
      <c r="B65" s="23"/>
      <c r="C65" s="22"/>
      <c r="D65" s="22"/>
      <c r="E65" s="24"/>
      <c r="F65" s="24"/>
      <c r="G65" s="24"/>
      <c r="H65" s="24"/>
      <c r="I65" s="24"/>
      <c r="J65" s="24"/>
      <c r="K65" s="24"/>
      <c r="L65" s="24"/>
      <c r="M65" s="25"/>
      <c r="N65" s="25"/>
      <c r="O65" s="25"/>
      <c r="P65" s="25"/>
      <c r="Q65" s="25"/>
      <c r="R65" s="25"/>
      <c r="S65" s="25"/>
      <c r="T65" s="24"/>
      <c r="U65" s="24"/>
      <c r="V65" s="22"/>
      <c r="W65" s="50"/>
      <c r="X65" s="22"/>
      <c r="Y65" s="22"/>
      <c r="Z65" s="22"/>
      <c r="AA65" s="153"/>
    </row>
    <row r="66" spans="1:27" x14ac:dyDescent="0.25">
      <c r="A66" s="22">
        <f t="shared" ref="A66:A97" si="2">ROW(A65)</f>
        <v>65</v>
      </c>
      <c r="B66" s="23"/>
      <c r="C66" s="22"/>
      <c r="D66" s="22"/>
      <c r="E66" s="24"/>
      <c r="F66" s="24"/>
      <c r="G66" s="24"/>
      <c r="H66" s="24"/>
      <c r="I66" s="24"/>
      <c r="J66" s="24"/>
      <c r="K66" s="24"/>
      <c r="L66" s="24"/>
      <c r="M66" s="25"/>
      <c r="N66" s="25"/>
      <c r="O66" s="25"/>
      <c r="P66" s="25"/>
      <c r="Q66" s="25"/>
      <c r="R66" s="25"/>
      <c r="S66" s="25"/>
      <c r="T66" s="24"/>
      <c r="U66" s="24"/>
      <c r="V66" s="22"/>
      <c r="W66" s="50"/>
      <c r="X66" s="22"/>
      <c r="Y66" s="22"/>
      <c r="Z66" s="22"/>
      <c r="AA66" s="153"/>
    </row>
    <row r="67" spans="1:27" x14ac:dyDescent="0.25">
      <c r="A67" s="22">
        <f t="shared" si="2"/>
        <v>66</v>
      </c>
      <c r="B67" s="23"/>
      <c r="C67" s="22"/>
      <c r="D67" s="22"/>
      <c r="E67" s="24"/>
      <c r="F67" s="24"/>
      <c r="G67" s="24"/>
      <c r="H67" s="24"/>
      <c r="I67" s="24"/>
      <c r="J67" s="24"/>
      <c r="K67" s="24"/>
      <c r="L67" s="24"/>
      <c r="M67" s="25"/>
      <c r="N67" s="25"/>
      <c r="O67" s="25"/>
      <c r="P67" s="25"/>
      <c r="Q67" s="25"/>
      <c r="R67" s="25"/>
      <c r="S67" s="25"/>
      <c r="T67" s="24"/>
      <c r="U67" s="24"/>
      <c r="V67" s="22"/>
      <c r="W67" s="50"/>
      <c r="X67" s="22"/>
      <c r="Y67" s="22"/>
      <c r="Z67" s="22"/>
      <c r="AA67" s="153"/>
    </row>
    <row r="68" spans="1:27" x14ac:dyDescent="0.25">
      <c r="A68" s="22">
        <f t="shared" si="2"/>
        <v>67</v>
      </c>
      <c r="B68" s="23"/>
      <c r="C68" s="22"/>
      <c r="D68" s="22"/>
      <c r="E68" s="24"/>
      <c r="F68" s="24"/>
      <c r="G68" s="24"/>
      <c r="H68" s="24"/>
      <c r="I68" s="24"/>
      <c r="J68" s="24"/>
      <c r="K68" s="24"/>
      <c r="L68" s="24"/>
      <c r="M68" s="25"/>
      <c r="N68" s="25"/>
      <c r="O68" s="25"/>
      <c r="P68" s="25"/>
      <c r="Q68" s="25"/>
      <c r="R68" s="25"/>
      <c r="S68" s="25"/>
      <c r="T68" s="24"/>
      <c r="U68" s="24"/>
      <c r="V68" s="22"/>
      <c r="W68" s="50"/>
      <c r="X68" s="22"/>
      <c r="Y68" s="22"/>
      <c r="Z68" s="22"/>
      <c r="AA68" s="153"/>
    </row>
    <row r="69" spans="1:27" x14ac:dyDescent="0.25">
      <c r="A69" s="22">
        <f t="shared" si="2"/>
        <v>68</v>
      </c>
      <c r="B69" s="23"/>
      <c r="C69" s="22"/>
      <c r="D69" s="22"/>
      <c r="E69" s="24"/>
      <c r="F69" s="24"/>
      <c r="G69" s="24"/>
      <c r="H69" s="24"/>
      <c r="I69" s="24"/>
      <c r="J69" s="24"/>
      <c r="K69" s="24"/>
      <c r="L69" s="24"/>
      <c r="M69" s="25"/>
      <c r="N69" s="25"/>
      <c r="O69" s="25"/>
      <c r="P69" s="25"/>
      <c r="Q69" s="25"/>
      <c r="R69" s="25"/>
      <c r="S69" s="25"/>
      <c r="T69" s="24"/>
      <c r="U69" s="24"/>
      <c r="V69" s="22"/>
      <c r="W69" s="50"/>
      <c r="X69" s="22"/>
      <c r="Y69" s="22"/>
      <c r="Z69" s="22"/>
      <c r="AA69" s="153"/>
    </row>
    <row r="70" spans="1:27" x14ac:dyDescent="0.25">
      <c r="A70" s="22">
        <f t="shared" si="2"/>
        <v>69</v>
      </c>
      <c r="B70" s="23"/>
      <c r="C70" s="22"/>
      <c r="D70" s="22"/>
      <c r="E70" s="24"/>
      <c r="F70" s="24"/>
      <c r="G70" s="24"/>
      <c r="H70" s="24"/>
      <c r="I70" s="24"/>
      <c r="J70" s="24"/>
      <c r="K70" s="24"/>
      <c r="L70" s="24"/>
      <c r="M70" s="25"/>
      <c r="N70" s="25"/>
      <c r="O70" s="25"/>
      <c r="P70" s="25"/>
      <c r="Q70" s="25"/>
      <c r="R70" s="25"/>
      <c r="S70" s="25"/>
      <c r="T70" s="24"/>
      <c r="U70" s="24"/>
      <c r="V70" s="22"/>
      <c r="W70" s="50"/>
      <c r="X70" s="22"/>
      <c r="Y70" s="22"/>
      <c r="Z70" s="22"/>
      <c r="AA70" s="153"/>
    </row>
    <row r="71" spans="1:27" x14ac:dyDescent="0.25">
      <c r="A71" s="22">
        <f t="shared" si="2"/>
        <v>70</v>
      </c>
      <c r="B71" s="23"/>
      <c r="C71" s="22"/>
      <c r="D71" s="22"/>
      <c r="E71" s="24"/>
      <c r="F71" s="24"/>
      <c r="G71" s="24"/>
      <c r="H71" s="24"/>
      <c r="I71" s="24"/>
      <c r="J71" s="24"/>
      <c r="K71" s="24"/>
      <c r="L71" s="24"/>
      <c r="M71" s="25"/>
      <c r="N71" s="25"/>
      <c r="O71" s="25"/>
      <c r="P71" s="25"/>
      <c r="Q71" s="25"/>
      <c r="R71" s="25"/>
      <c r="S71" s="25"/>
      <c r="T71" s="24"/>
      <c r="U71" s="24"/>
      <c r="V71" s="22"/>
      <c r="W71" s="50"/>
      <c r="X71" s="22"/>
      <c r="Y71" s="22"/>
      <c r="Z71" s="22"/>
      <c r="AA71" s="153"/>
    </row>
    <row r="72" spans="1:27" x14ac:dyDescent="0.25">
      <c r="A72" s="22">
        <f t="shared" si="2"/>
        <v>71</v>
      </c>
      <c r="B72" s="23"/>
      <c r="C72" s="22"/>
      <c r="D72" s="22"/>
      <c r="E72" s="24"/>
      <c r="F72" s="24"/>
      <c r="G72" s="24"/>
      <c r="H72" s="24"/>
      <c r="I72" s="24"/>
      <c r="J72" s="24"/>
      <c r="K72" s="24"/>
      <c r="L72" s="24"/>
      <c r="M72" s="25"/>
      <c r="N72" s="25"/>
      <c r="O72" s="25"/>
      <c r="P72" s="25"/>
      <c r="Q72" s="25"/>
      <c r="R72" s="25"/>
      <c r="S72" s="25"/>
      <c r="T72" s="24"/>
      <c r="U72" s="24"/>
      <c r="V72" s="22"/>
      <c r="W72" s="50"/>
      <c r="X72" s="22"/>
      <c r="Y72" s="22"/>
      <c r="Z72" s="22"/>
      <c r="AA72" s="153"/>
    </row>
    <row r="73" spans="1:27" x14ac:dyDescent="0.25">
      <c r="A73" s="22">
        <f t="shared" si="2"/>
        <v>72</v>
      </c>
      <c r="B73" s="23"/>
      <c r="C73" s="22"/>
      <c r="D73" s="22"/>
      <c r="E73" s="24"/>
      <c r="F73" s="24"/>
      <c r="G73" s="24"/>
      <c r="H73" s="24"/>
      <c r="I73" s="24"/>
      <c r="J73" s="24"/>
      <c r="K73" s="24"/>
      <c r="L73" s="24"/>
      <c r="M73" s="25"/>
      <c r="N73" s="25"/>
      <c r="O73" s="25"/>
      <c r="P73" s="25"/>
      <c r="Q73" s="25"/>
      <c r="R73" s="25"/>
      <c r="S73" s="25"/>
      <c r="T73" s="24"/>
      <c r="U73" s="24"/>
      <c r="V73" s="22"/>
      <c r="W73" s="50"/>
      <c r="X73" s="22"/>
      <c r="Y73" s="22"/>
      <c r="Z73" s="22"/>
      <c r="AA73" s="153"/>
    </row>
    <row r="74" spans="1:27" x14ac:dyDescent="0.25">
      <c r="A74" s="22">
        <f t="shared" si="2"/>
        <v>73</v>
      </c>
      <c r="B74" s="23"/>
      <c r="C74" s="22"/>
      <c r="D74" s="22"/>
      <c r="E74" s="24"/>
      <c r="F74" s="24"/>
      <c r="G74" s="24"/>
      <c r="H74" s="24"/>
      <c r="I74" s="24"/>
      <c r="J74" s="24"/>
      <c r="K74" s="24"/>
      <c r="L74" s="24"/>
      <c r="M74" s="25"/>
      <c r="N74" s="25"/>
      <c r="O74" s="25"/>
      <c r="P74" s="25"/>
      <c r="Q74" s="25"/>
      <c r="R74" s="25"/>
      <c r="S74" s="25"/>
      <c r="T74" s="24"/>
      <c r="U74" s="24"/>
      <c r="V74" s="22"/>
      <c r="W74" s="50"/>
      <c r="X74" s="22"/>
      <c r="Y74" s="22"/>
      <c r="Z74" s="22"/>
      <c r="AA74" s="153"/>
    </row>
    <row r="75" spans="1:27" x14ac:dyDescent="0.25">
      <c r="A75" s="22">
        <f t="shared" si="2"/>
        <v>74</v>
      </c>
      <c r="B75" s="23"/>
      <c r="C75" s="22"/>
      <c r="D75" s="22"/>
      <c r="E75" s="24"/>
      <c r="F75" s="24"/>
      <c r="G75" s="24"/>
      <c r="H75" s="24"/>
      <c r="I75" s="24"/>
      <c r="J75" s="24"/>
      <c r="K75" s="24"/>
      <c r="L75" s="24"/>
      <c r="M75" s="25"/>
      <c r="N75" s="25"/>
      <c r="O75" s="25"/>
      <c r="P75" s="25"/>
      <c r="Q75" s="25"/>
      <c r="R75" s="25"/>
      <c r="S75" s="25"/>
      <c r="T75" s="24"/>
      <c r="U75" s="24"/>
      <c r="V75" s="22"/>
      <c r="W75" s="50"/>
      <c r="X75" s="22"/>
      <c r="Y75" s="22"/>
      <c r="Z75" s="22"/>
      <c r="AA75" s="153"/>
    </row>
    <row r="76" spans="1:27" x14ac:dyDescent="0.25">
      <c r="A76" s="22">
        <f t="shared" si="2"/>
        <v>75</v>
      </c>
      <c r="B76" s="23"/>
      <c r="C76" s="22"/>
      <c r="D76" s="22"/>
      <c r="E76" s="24"/>
      <c r="F76" s="24"/>
      <c r="G76" s="24"/>
      <c r="H76" s="24"/>
      <c r="I76" s="24"/>
      <c r="J76" s="24"/>
      <c r="K76" s="24"/>
      <c r="L76" s="24"/>
      <c r="M76" s="25"/>
      <c r="N76" s="25"/>
      <c r="O76" s="25"/>
      <c r="P76" s="25"/>
      <c r="Q76" s="25"/>
      <c r="R76" s="25"/>
      <c r="S76" s="25"/>
      <c r="T76" s="24"/>
      <c r="U76" s="24"/>
      <c r="V76" s="22"/>
      <c r="W76" s="50"/>
      <c r="X76" s="22"/>
      <c r="Y76" s="22"/>
      <c r="Z76" s="22"/>
      <c r="AA76" s="153"/>
    </row>
    <row r="77" spans="1:27" x14ac:dyDescent="0.25">
      <c r="A77" s="22">
        <f t="shared" si="2"/>
        <v>76</v>
      </c>
      <c r="B77" s="23"/>
      <c r="C77" s="22"/>
      <c r="D77" s="22"/>
      <c r="E77" s="24"/>
      <c r="F77" s="24"/>
      <c r="G77" s="24"/>
      <c r="H77" s="24"/>
      <c r="I77" s="24"/>
      <c r="J77" s="24"/>
      <c r="K77" s="24"/>
      <c r="L77" s="24"/>
      <c r="M77" s="25"/>
      <c r="N77" s="25"/>
      <c r="O77" s="25"/>
      <c r="P77" s="25"/>
      <c r="Q77" s="25"/>
      <c r="R77" s="25"/>
      <c r="S77" s="25"/>
      <c r="T77" s="24"/>
      <c r="U77" s="24"/>
      <c r="V77" s="22"/>
      <c r="W77" s="50"/>
      <c r="X77" s="22"/>
      <c r="Y77" s="22"/>
      <c r="Z77" s="22"/>
      <c r="AA77" s="153"/>
    </row>
    <row r="78" spans="1:27" x14ac:dyDescent="0.25">
      <c r="A78" s="22">
        <f t="shared" si="2"/>
        <v>77</v>
      </c>
      <c r="B78" s="23"/>
      <c r="C78" s="22"/>
      <c r="D78" s="22"/>
      <c r="E78" s="24"/>
      <c r="F78" s="24"/>
      <c r="G78" s="24"/>
      <c r="H78" s="24"/>
      <c r="I78" s="24"/>
      <c r="J78" s="24"/>
      <c r="K78" s="24"/>
      <c r="L78" s="24"/>
      <c r="M78" s="25"/>
      <c r="N78" s="25"/>
      <c r="O78" s="25"/>
      <c r="P78" s="25"/>
      <c r="Q78" s="25"/>
      <c r="R78" s="25"/>
      <c r="S78" s="25"/>
      <c r="T78" s="24"/>
      <c r="U78" s="24"/>
      <c r="V78" s="22"/>
      <c r="W78" s="50"/>
      <c r="X78" s="22"/>
      <c r="Y78" s="22"/>
      <c r="Z78" s="22"/>
      <c r="AA78" s="153"/>
    </row>
    <row r="79" spans="1:27" x14ac:dyDescent="0.25">
      <c r="A79" s="22">
        <f t="shared" si="2"/>
        <v>78</v>
      </c>
      <c r="B79" s="23"/>
      <c r="C79" s="22"/>
      <c r="D79" s="22"/>
      <c r="E79" s="24"/>
      <c r="F79" s="24"/>
      <c r="G79" s="24"/>
      <c r="H79" s="24"/>
      <c r="I79" s="24"/>
      <c r="J79" s="24"/>
      <c r="K79" s="24"/>
      <c r="L79" s="24"/>
      <c r="M79" s="25"/>
      <c r="N79" s="25"/>
      <c r="O79" s="25"/>
      <c r="P79" s="25"/>
      <c r="Q79" s="25"/>
      <c r="R79" s="25"/>
      <c r="S79" s="25"/>
      <c r="T79" s="24"/>
      <c r="U79" s="24"/>
      <c r="V79" s="22"/>
      <c r="W79" s="50"/>
      <c r="X79" s="22"/>
      <c r="Y79" s="22"/>
      <c r="Z79" s="22"/>
      <c r="AA79" s="153"/>
    </row>
    <row r="80" spans="1:27" x14ac:dyDescent="0.25">
      <c r="A80" s="22">
        <f t="shared" si="2"/>
        <v>79</v>
      </c>
      <c r="B80" s="23"/>
      <c r="C80" s="22"/>
      <c r="D80" s="22"/>
      <c r="E80" s="24"/>
      <c r="F80" s="24"/>
      <c r="G80" s="24"/>
      <c r="H80" s="24"/>
      <c r="I80" s="24"/>
      <c r="J80" s="24"/>
      <c r="K80" s="24"/>
      <c r="L80" s="24"/>
      <c r="M80" s="25"/>
      <c r="N80" s="25"/>
      <c r="O80" s="25"/>
      <c r="P80" s="25"/>
      <c r="Q80" s="25"/>
      <c r="R80" s="25"/>
      <c r="S80" s="25"/>
      <c r="T80" s="24"/>
      <c r="U80" s="24"/>
      <c r="V80" s="22"/>
      <c r="W80" s="50"/>
      <c r="X80" s="22"/>
      <c r="Y80" s="22"/>
      <c r="Z80" s="22"/>
      <c r="AA80" s="153"/>
    </row>
    <row r="81" spans="1:27" x14ac:dyDescent="0.25">
      <c r="A81" s="22">
        <f t="shared" si="2"/>
        <v>80</v>
      </c>
      <c r="B81" s="23"/>
      <c r="C81" s="22"/>
      <c r="D81" s="22"/>
      <c r="E81" s="24"/>
      <c r="F81" s="24"/>
      <c r="G81" s="24"/>
      <c r="H81" s="24"/>
      <c r="I81" s="24"/>
      <c r="J81" s="24"/>
      <c r="K81" s="24"/>
      <c r="L81" s="24"/>
      <c r="M81" s="25"/>
      <c r="N81" s="25"/>
      <c r="O81" s="25"/>
      <c r="P81" s="25"/>
      <c r="Q81" s="25"/>
      <c r="R81" s="25"/>
      <c r="S81" s="25"/>
      <c r="T81" s="24"/>
      <c r="U81" s="24"/>
      <c r="V81" s="22"/>
      <c r="W81" s="50"/>
      <c r="X81" s="22"/>
      <c r="Y81" s="22"/>
      <c r="Z81" s="22"/>
      <c r="AA81" s="153"/>
    </row>
    <row r="82" spans="1:27" x14ac:dyDescent="0.25">
      <c r="A82" s="22">
        <f t="shared" si="2"/>
        <v>81</v>
      </c>
      <c r="B82" s="23"/>
      <c r="C82" s="22"/>
      <c r="D82" s="22"/>
      <c r="E82" s="24"/>
      <c r="F82" s="24"/>
      <c r="G82" s="24"/>
      <c r="H82" s="24"/>
      <c r="I82" s="24"/>
      <c r="J82" s="24"/>
      <c r="K82" s="24"/>
      <c r="L82" s="24"/>
      <c r="M82" s="25"/>
      <c r="N82" s="25"/>
      <c r="O82" s="25"/>
      <c r="P82" s="25"/>
      <c r="Q82" s="25"/>
      <c r="R82" s="25"/>
      <c r="S82" s="25"/>
      <c r="T82" s="24"/>
      <c r="U82" s="24"/>
      <c r="V82" s="22"/>
      <c r="W82" s="50"/>
      <c r="X82" s="22"/>
      <c r="Y82" s="22"/>
      <c r="Z82" s="22"/>
      <c r="AA82" s="153"/>
    </row>
    <row r="83" spans="1:27" x14ac:dyDescent="0.25">
      <c r="A83" s="22">
        <f t="shared" si="2"/>
        <v>82</v>
      </c>
      <c r="B83" s="23"/>
      <c r="C83" s="22"/>
      <c r="D83" s="22"/>
      <c r="E83" s="24"/>
      <c r="F83" s="24"/>
      <c r="G83" s="24"/>
      <c r="H83" s="24"/>
      <c r="I83" s="24"/>
      <c r="J83" s="24"/>
      <c r="K83" s="24"/>
      <c r="L83" s="24"/>
      <c r="M83" s="25"/>
      <c r="N83" s="25"/>
      <c r="O83" s="25"/>
      <c r="P83" s="25"/>
      <c r="Q83" s="25"/>
      <c r="R83" s="25"/>
      <c r="S83" s="25"/>
      <c r="T83" s="24"/>
      <c r="U83" s="24"/>
      <c r="V83" s="22"/>
      <c r="W83" s="50"/>
      <c r="X83" s="22"/>
      <c r="Y83" s="22"/>
      <c r="Z83" s="22"/>
      <c r="AA83" s="153"/>
    </row>
    <row r="84" spans="1:27" x14ac:dyDescent="0.25">
      <c r="A84" s="22">
        <f t="shared" si="2"/>
        <v>83</v>
      </c>
      <c r="B84" s="23"/>
      <c r="C84" s="22"/>
      <c r="D84" s="22"/>
      <c r="E84" s="24"/>
      <c r="F84" s="24"/>
      <c r="G84" s="24"/>
      <c r="H84" s="24"/>
      <c r="I84" s="24"/>
      <c r="J84" s="24"/>
      <c r="K84" s="24"/>
      <c r="L84" s="24"/>
      <c r="M84" s="25"/>
      <c r="N84" s="25"/>
      <c r="O84" s="25"/>
      <c r="P84" s="25"/>
      <c r="Q84" s="25"/>
      <c r="R84" s="25"/>
      <c r="S84" s="25"/>
      <c r="T84" s="24"/>
      <c r="U84" s="24"/>
      <c r="V84" s="22"/>
      <c r="W84" s="50"/>
      <c r="X84" s="22"/>
      <c r="Y84" s="22"/>
      <c r="Z84" s="22"/>
      <c r="AA84" s="153"/>
    </row>
    <row r="85" spans="1:27" x14ac:dyDescent="0.25">
      <c r="A85" s="22">
        <f t="shared" si="2"/>
        <v>84</v>
      </c>
      <c r="B85" s="23"/>
      <c r="C85" s="22"/>
      <c r="D85" s="22"/>
      <c r="E85" s="24"/>
      <c r="F85" s="24"/>
      <c r="G85" s="24"/>
      <c r="H85" s="24"/>
      <c r="I85" s="24"/>
      <c r="J85" s="24"/>
      <c r="K85" s="24"/>
      <c r="L85" s="24"/>
      <c r="M85" s="25"/>
      <c r="N85" s="25"/>
      <c r="O85" s="25"/>
      <c r="P85" s="25"/>
      <c r="Q85" s="25"/>
      <c r="R85" s="25"/>
      <c r="S85" s="25"/>
      <c r="T85" s="24"/>
      <c r="U85" s="24"/>
      <c r="V85" s="22"/>
      <c r="W85" s="50"/>
      <c r="X85" s="22"/>
      <c r="Y85" s="22"/>
      <c r="Z85" s="22"/>
      <c r="AA85" s="153"/>
    </row>
    <row r="86" spans="1:27" x14ac:dyDescent="0.25">
      <c r="A86" s="22">
        <f t="shared" si="2"/>
        <v>85</v>
      </c>
      <c r="B86" s="23"/>
      <c r="C86" s="22"/>
      <c r="D86" s="22"/>
      <c r="E86" s="24"/>
      <c r="F86" s="24"/>
      <c r="G86" s="24"/>
      <c r="H86" s="24"/>
      <c r="I86" s="24"/>
      <c r="J86" s="24"/>
      <c r="K86" s="24"/>
      <c r="L86" s="24"/>
      <c r="M86" s="25"/>
      <c r="N86" s="25"/>
      <c r="O86" s="25"/>
      <c r="P86" s="25"/>
      <c r="Q86" s="25"/>
      <c r="R86" s="25"/>
      <c r="S86" s="25"/>
      <c r="T86" s="24"/>
      <c r="U86" s="24"/>
      <c r="V86" s="22"/>
      <c r="W86" s="50"/>
      <c r="X86" s="22"/>
      <c r="Y86" s="22"/>
      <c r="Z86" s="22"/>
      <c r="AA86" s="153"/>
    </row>
    <row r="87" spans="1:27" x14ac:dyDescent="0.25">
      <c r="A87" s="22">
        <f t="shared" si="2"/>
        <v>86</v>
      </c>
      <c r="B87" s="23"/>
      <c r="C87" s="22"/>
      <c r="D87" s="22"/>
      <c r="E87" s="24"/>
      <c r="F87" s="24"/>
      <c r="G87" s="24"/>
      <c r="H87" s="24"/>
      <c r="I87" s="24"/>
      <c r="J87" s="24"/>
      <c r="K87" s="24"/>
      <c r="L87" s="24"/>
      <c r="M87" s="25"/>
      <c r="N87" s="25"/>
      <c r="O87" s="25"/>
      <c r="P87" s="25"/>
      <c r="Q87" s="25"/>
      <c r="R87" s="25"/>
      <c r="S87" s="25"/>
      <c r="T87" s="24"/>
      <c r="U87" s="24"/>
      <c r="V87" s="22"/>
      <c r="W87" s="50"/>
      <c r="X87" s="22"/>
      <c r="Y87" s="22"/>
      <c r="Z87" s="22"/>
      <c r="AA87" s="153"/>
    </row>
    <row r="88" spans="1:27" x14ac:dyDescent="0.25">
      <c r="A88" s="22">
        <f t="shared" si="2"/>
        <v>87</v>
      </c>
      <c r="B88" s="23"/>
      <c r="C88" s="22"/>
      <c r="D88" s="22"/>
      <c r="E88" s="24"/>
      <c r="F88" s="24"/>
      <c r="G88" s="24"/>
      <c r="H88" s="24"/>
      <c r="I88" s="24"/>
      <c r="J88" s="24"/>
      <c r="K88" s="24"/>
      <c r="L88" s="24"/>
      <c r="M88" s="25"/>
      <c r="N88" s="25"/>
      <c r="O88" s="25"/>
      <c r="P88" s="25"/>
      <c r="Q88" s="25"/>
      <c r="R88" s="25"/>
      <c r="S88" s="25"/>
      <c r="T88" s="24"/>
      <c r="U88" s="24"/>
      <c r="V88" s="22"/>
      <c r="W88" s="50"/>
      <c r="X88" s="22"/>
      <c r="Y88" s="22"/>
      <c r="Z88" s="22"/>
      <c r="AA88" s="153"/>
    </row>
    <row r="89" spans="1:27" x14ac:dyDescent="0.25">
      <c r="A89" s="22">
        <f t="shared" si="2"/>
        <v>88</v>
      </c>
      <c r="B89" s="23"/>
      <c r="C89" s="22"/>
      <c r="D89" s="22"/>
      <c r="E89" s="24"/>
      <c r="F89" s="24"/>
      <c r="G89" s="24"/>
      <c r="H89" s="24"/>
      <c r="I89" s="24"/>
      <c r="J89" s="24"/>
      <c r="K89" s="24"/>
      <c r="L89" s="24"/>
      <c r="M89" s="25"/>
      <c r="N89" s="25"/>
      <c r="O89" s="25"/>
      <c r="P89" s="25"/>
      <c r="Q89" s="25"/>
      <c r="R89" s="25"/>
      <c r="S89" s="25"/>
      <c r="T89" s="24"/>
      <c r="U89" s="24"/>
      <c r="V89" s="22"/>
      <c r="W89" s="50"/>
      <c r="X89" s="22"/>
      <c r="Y89" s="22"/>
      <c r="Z89" s="22"/>
      <c r="AA89" s="153"/>
    </row>
    <row r="90" spans="1:27" x14ac:dyDescent="0.25">
      <c r="A90" s="22">
        <f t="shared" si="2"/>
        <v>89</v>
      </c>
      <c r="B90" s="23"/>
      <c r="C90" s="22"/>
      <c r="D90" s="22"/>
      <c r="E90" s="24"/>
      <c r="F90" s="24"/>
      <c r="G90" s="24"/>
      <c r="H90" s="24"/>
      <c r="I90" s="24"/>
      <c r="J90" s="24"/>
      <c r="K90" s="24"/>
      <c r="L90" s="24"/>
      <c r="M90" s="25"/>
      <c r="N90" s="25"/>
      <c r="O90" s="25"/>
      <c r="P90" s="25"/>
      <c r="Q90" s="25"/>
      <c r="R90" s="25"/>
      <c r="S90" s="25"/>
      <c r="T90" s="24"/>
      <c r="U90" s="24"/>
      <c r="V90" s="22"/>
      <c r="W90" s="50"/>
      <c r="X90" s="22"/>
      <c r="Y90" s="22"/>
      <c r="Z90" s="22"/>
      <c r="AA90" s="153"/>
    </row>
    <row r="91" spans="1:27" x14ac:dyDescent="0.25">
      <c r="A91" s="22">
        <f t="shared" si="2"/>
        <v>90</v>
      </c>
      <c r="B91" s="23"/>
      <c r="C91" s="22"/>
      <c r="D91" s="22"/>
      <c r="E91" s="24"/>
      <c r="F91" s="24"/>
      <c r="G91" s="24"/>
      <c r="H91" s="24"/>
      <c r="I91" s="24"/>
      <c r="J91" s="24"/>
      <c r="K91" s="24"/>
      <c r="L91" s="24"/>
      <c r="M91" s="25"/>
      <c r="N91" s="25"/>
      <c r="O91" s="25"/>
      <c r="P91" s="25"/>
      <c r="Q91" s="25"/>
      <c r="R91" s="25"/>
      <c r="S91" s="25"/>
      <c r="T91" s="24"/>
      <c r="U91" s="24"/>
      <c r="V91" s="22"/>
      <c r="W91" s="50"/>
      <c r="X91" s="22"/>
      <c r="Y91" s="22"/>
      <c r="Z91" s="22"/>
      <c r="AA91" s="153"/>
    </row>
    <row r="92" spans="1:27" x14ac:dyDescent="0.25">
      <c r="A92" s="22">
        <f t="shared" si="2"/>
        <v>91</v>
      </c>
      <c r="B92" s="23"/>
      <c r="C92" s="22"/>
      <c r="D92" s="22"/>
      <c r="E92" s="24"/>
      <c r="F92" s="24"/>
      <c r="G92" s="24"/>
      <c r="H92" s="24"/>
      <c r="I92" s="24"/>
      <c r="J92" s="24"/>
      <c r="K92" s="24"/>
      <c r="L92" s="24"/>
      <c r="M92" s="25"/>
      <c r="N92" s="25"/>
      <c r="O92" s="25"/>
      <c r="P92" s="25"/>
      <c r="Q92" s="25"/>
      <c r="R92" s="25"/>
      <c r="S92" s="25"/>
      <c r="T92" s="24"/>
      <c r="U92" s="24"/>
      <c r="V92" s="22"/>
      <c r="W92" s="50"/>
      <c r="X92" s="22"/>
      <c r="Y92" s="22"/>
      <c r="Z92" s="22"/>
      <c r="AA92" s="153"/>
    </row>
    <row r="93" spans="1:27" x14ac:dyDescent="0.25">
      <c r="A93" s="22">
        <f t="shared" si="2"/>
        <v>92</v>
      </c>
      <c r="B93" s="23"/>
      <c r="C93" s="22"/>
      <c r="D93" s="22"/>
      <c r="E93" s="24"/>
      <c r="F93" s="24"/>
      <c r="G93" s="24"/>
      <c r="H93" s="24"/>
      <c r="I93" s="24"/>
      <c r="J93" s="24"/>
      <c r="K93" s="24"/>
      <c r="L93" s="24"/>
      <c r="M93" s="25"/>
      <c r="N93" s="25"/>
      <c r="O93" s="25"/>
      <c r="P93" s="25"/>
      <c r="Q93" s="25"/>
      <c r="R93" s="25"/>
      <c r="S93" s="25"/>
      <c r="T93" s="24"/>
      <c r="U93" s="24"/>
      <c r="V93" s="22"/>
      <c r="W93" s="50"/>
      <c r="X93" s="22"/>
      <c r="Y93" s="22"/>
      <c r="Z93" s="22"/>
      <c r="AA93" s="153"/>
    </row>
    <row r="94" spans="1:27" x14ac:dyDescent="0.25">
      <c r="A94" s="22">
        <f t="shared" si="2"/>
        <v>93</v>
      </c>
      <c r="B94" s="23"/>
      <c r="C94" s="22"/>
      <c r="D94" s="22"/>
      <c r="E94" s="24"/>
      <c r="F94" s="24"/>
      <c r="G94" s="24"/>
      <c r="H94" s="24"/>
      <c r="I94" s="24"/>
      <c r="J94" s="24"/>
      <c r="K94" s="24"/>
      <c r="L94" s="24"/>
      <c r="M94" s="25"/>
      <c r="N94" s="25"/>
      <c r="O94" s="25"/>
      <c r="P94" s="25"/>
      <c r="Q94" s="25"/>
      <c r="R94" s="25"/>
      <c r="S94" s="25"/>
      <c r="T94" s="24"/>
      <c r="U94" s="24"/>
      <c r="V94" s="22"/>
      <c r="W94" s="50"/>
      <c r="X94" s="22"/>
      <c r="Y94" s="22"/>
      <c r="Z94" s="22"/>
      <c r="AA94" s="153"/>
    </row>
    <row r="95" spans="1:27" x14ac:dyDescent="0.25">
      <c r="A95" s="22">
        <f t="shared" si="2"/>
        <v>94</v>
      </c>
      <c r="B95" s="23"/>
      <c r="C95" s="22"/>
      <c r="D95" s="22"/>
      <c r="E95" s="24"/>
      <c r="F95" s="24"/>
      <c r="G95" s="24"/>
      <c r="H95" s="24"/>
      <c r="I95" s="24"/>
      <c r="J95" s="24"/>
      <c r="K95" s="24"/>
      <c r="L95" s="24"/>
      <c r="M95" s="25"/>
      <c r="N95" s="25"/>
      <c r="O95" s="25"/>
      <c r="P95" s="25"/>
      <c r="Q95" s="25"/>
      <c r="R95" s="25"/>
      <c r="S95" s="25"/>
      <c r="T95" s="24"/>
      <c r="U95" s="24"/>
      <c r="V95" s="22"/>
      <c r="W95" s="50"/>
      <c r="X95" s="22"/>
      <c r="Y95" s="22"/>
      <c r="Z95" s="22"/>
      <c r="AA95" s="153"/>
    </row>
    <row r="96" spans="1:27" x14ac:dyDescent="0.25">
      <c r="A96" s="22">
        <f t="shared" si="2"/>
        <v>95</v>
      </c>
      <c r="B96" s="23"/>
      <c r="C96" s="22"/>
      <c r="D96" s="22"/>
      <c r="E96" s="24"/>
      <c r="F96" s="24"/>
      <c r="G96" s="24"/>
      <c r="H96" s="24"/>
      <c r="I96" s="24"/>
      <c r="J96" s="24"/>
      <c r="K96" s="24"/>
      <c r="L96" s="24"/>
      <c r="M96" s="25"/>
      <c r="N96" s="25"/>
      <c r="O96" s="25"/>
      <c r="P96" s="25"/>
      <c r="Q96" s="25"/>
      <c r="R96" s="25"/>
      <c r="S96" s="25"/>
      <c r="T96" s="24"/>
      <c r="U96" s="24"/>
      <c r="V96" s="22"/>
      <c r="W96" s="50"/>
      <c r="X96" s="22"/>
      <c r="Y96" s="22"/>
      <c r="Z96" s="22"/>
      <c r="AA96" s="153"/>
    </row>
    <row r="97" spans="1:27" x14ac:dyDescent="0.25">
      <c r="A97" s="22">
        <f t="shared" si="2"/>
        <v>96</v>
      </c>
      <c r="B97" s="23"/>
      <c r="C97" s="22"/>
      <c r="D97" s="22"/>
      <c r="E97" s="24"/>
      <c r="F97" s="24"/>
      <c r="G97" s="24"/>
      <c r="H97" s="24"/>
      <c r="I97" s="24"/>
      <c r="J97" s="24"/>
      <c r="K97" s="24"/>
      <c r="L97" s="24"/>
      <c r="M97" s="25"/>
      <c r="N97" s="25"/>
      <c r="O97" s="25"/>
      <c r="P97" s="25"/>
      <c r="Q97" s="25"/>
      <c r="R97" s="25"/>
      <c r="S97" s="25"/>
      <c r="T97" s="24"/>
      <c r="U97" s="24"/>
      <c r="V97" s="22"/>
      <c r="W97" s="50"/>
      <c r="X97" s="22"/>
      <c r="Y97" s="22"/>
      <c r="Z97" s="22"/>
      <c r="AA97" s="153"/>
    </row>
    <row r="98" spans="1:27" x14ac:dyDescent="0.25">
      <c r="A98" s="22">
        <f t="shared" ref="A98:A120" si="3">ROW(A97)</f>
        <v>97</v>
      </c>
      <c r="B98" s="23"/>
      <c r="C98" s="22"/>
      <c r="D98" s="22"/>
      <c r="E98" s="24"/>
      <c r="F98" s="24"/>
      <c r="G98" s="24"/>
      <c r="H98" s="24"/>
      <c r="I98" s="24"/>
      <c r="J98" s="24"/>
      <c r="K98" s="24"/>
      <c r="L98" s="24"/>
      <c r="M98" s="25"/>
      <c r="N98" s="25"/>
      <c r="O98" s="25"/>
      <c r="P98" s="25"/>
      <c r="Q98" s="25"/>
      <c r="R98" s="25"/>
      <c r="S98" s="25"/>
      <c r="T98" s="24"/>
      <c r="U98" s="24"/>
      <c r="V98" s="22"/>
      <c r="W98" s="50"/>
      <c r="X98" s="22"/>
      <c r="Y98" s="22"/>
      <c r="Z98" s="22"/>
      <c r="AA98" s="153"/>
    </row>
    <row r="99" spans="1:27" x14ac:dyDescent="0.25">
      <c r="A99" s="22">
        <f t="shared" si="3"/>
        <v>98</v>
      </c>
      <c r="B99" s="23"/>
      <c r="C99" s="22"/>
      <c r="D99" s="22"/>
      <c r="E99" s="24"/>
      <c r="F99" s="24"/>
      <c r="G99" s="24"/>
      <c r="H99" s="24"/>
      <c r="I99" s="24"/>
      <c r="J99" s="24"/>
      <c r="K99" s="24"/>
      <c r="L99" s="24"/>
      <c r="M99" s="25"/>
      <c r="N99" s="25"/>
      <c r="O99" s="25"/>
      <c r="P99" s="25"/>
      <c r="Q99" s="25"/>
      <c r="R99" s="25"/>
      <c r="S99" s="25"/>
      <c r="T99" s="24"/>
      <c r="U99" s="24"/>
      <c r="V99" s="22"/>
      <c r="W99" s="50"/>
      <c r="X99" s="22"/>
      <c r="Y99" s="22"/>
      <c r="Z99" s="22"/>
      <c r="AA99" s="153"/>
    </row>
    <row r="100" spans="1:27" x14ac:dyDescent="0.25">
      <c r="A100" s="22">
        <f t="shared" si="3"/>
        <v>99</v>
      </c>
      <c r="B100" s="23"/>
      <c r="C100" s="22"/>
      <c r="D100" s="22"/>
      <c r="E100" s="24"/>
      <c r="F100" s="24"/>
      <c r="G100" s="24"/>
      <c r="H100" s="24"/>
      <c r="I100" s="24"/>
      <c r="J100" s="24"/>
      <c r="K100" s="24"/>
      <c r="L100" s="24"/>
      <c r="M100" s="25"/>
      <c r="N100" s="25"/>
      <c r="O100" s="25"/>
      <c r="P100" s="25"/>
      <c r="Q100" s="25"/>
      <c r="R100" s="25"/>
      <c r="S100" s="25"/>
      <c r="T100" s="24"/>
      <c r="U100" s="24"/>
      <c r="V100" s="22"/>
      <c r="W100" s="50"/>
      <c r="X100" s="22"/>
      <c r="Y100" s="22"/>
      <c r="Z100" s="22"/>
      <c r="AA100" s="153"/>
    </row>
    <row r="101" spans="1:27" x14ac:dyDescent="0.25">
      <c r="A101" s="22">
        <f t="shared" si="3"/>
        <v>100</v>
      </c>
      <c r="B101" s="23"/>
      <c r="C101" s="22"/>
      <c r="D101" s="22"/>
      <c r="E101" s="24"/>
      <c r="F101" s="24"/>
      <c r="G101" s="24"/>
      <c r="H101" s="24"/>
      <c r="I101" s="24"/>
      <c r="J101" s="24"/>
      <c r="K101" s="24"/>
      <c r="L101" s="24"/>
      <c r="M101" s="25"/>
      <c r="N101" s="25"/>
      <c r="O101" s="25"/>
      <c r="P101" s="25"/>
      <c r="Q101" s="25"/>
      <c r="R101" s="25"/>
      <c r="S101" s="25"/>
      <c r="T101" s="24"/>
      <c r="U101" s="24"/>
      <c r="V101" s="22"/>
      <c r="W101" s="50"/>
      <c r="X101" s="22"/>
      <c r="Y101" s="22"/>
      <c r="Z101" s="22"/>
      <c r="AA101" s="153"/>
    </row>
    <row r="102" spans="1:27" x14ac:dyDescent="0.25">
      <c r="A102" s="22">
        <f t="shared" si="3"/>
        <v>101</v>
      </c>
      <c r="B102" s="23"/>
      <c r="C102" s="22"/>
      <c r="D102" s="22"/>
      <c r="E102" s="24"/>
      <c r="F102" s="24"/>
      <c r="G102" s="24"/>
      <c r="H102" s="24"/>
      <c r="I102" s="24"/>
      <c r="J102" s="24"/>
      <c r="K102" s="24"/>
      <c r="L102" s="24"/>
      <c r="M102" s="25"/>
      <c r="N102" s="25"/>
      <c r="O102" s="25"/>
      <c r="P102" s="25"/>
      <c r="Q102" s="25"/>
      <c r="R102" s="25"/>
      <c r="S102" s="25"/>
      <c r="T102" s="24"/>
      <c r="U102" s="24"/>
      <c r="V102" s="22"/>
      <c r="W102" s="50"/>
      <c r="X102" s="22"/>
      <c r="Y102" s="22"/>
      <c r="Z102" s="22"/>
      <c r="AA102" s="153"/>
    </row>
    <row r="103" spans="1:27" x14ac:dyDescent="0.25">
      <c r="A103" s="22">
        <f t="shared" si="3"/>
        <v>102</v>
      </c>
      <c r="B103" s="23"/>
      <c r="C103" s="22"/>
      <c r="D103" s="22"/>
      <c r="E103" s="24"/>
      <c r="F103" s="24"/>
      <c r="G103" s="24"/>
      <c r="H103" s="24"/>
      <c r="I103" s="24"/>
      <c r="J103" s="24"/>
      <c r="K103" s="24"/>
      <c r="L103" s="24"/>
      <c r="M103" s="25"/>
      <c r="N103" s="25"/>
      <c r="O103" s="25"/>
      <c r="P103" s="25"/>
      <c r="Q103" s="25"/>
      <c r="R103" s="25"/>
      <c r="S103" s="25"/>
      <c r="T103" s="24"/>
      <c r="U103" s="24"/>
      <c r="V103" s="22"/>
      <c r="W103" s="50"/>
      <c r="X103" s="22"/>
      <c r="Y103" s="22"/>
      <c r="Z103" s="22"/>
      <c r="AA103" s="153"/>
    </row>
    <row r="104" spans="1:27" x14ac:dyDescent="0.25">
      <c r="A104" s="22">
        <f t="shared" si="3"/>
        <v>103</v>
      </c>
      <c r="B104" s="23"/>
      <c r="C104" s="22"/>
      <c r="D104" s="22"/>
      <c r="E104" s="24"/>
      <c r="F104" s="24"/>
      <c r="G104" s="24"/>
      <c r="H104" s="24"/>
      <c r="I104" s="24"/>
      <c r="J104" s="24"/>
      <c r="K104" s="24"/>
      <c r="L104" s="24"/>
      <c r="M104" s="25"/>
      <c r="N104" s="25"/>
      <c r="O104" s="25"/>
      <c r="P104" s="25"/>
      <c r="Q104" s="25"/>
      <c r="R104" s="25"/>
      <c r="S104" s="25"/>
      <c r="T104" s="24"/>
      <c r="U104" s="24"/>
      <c r="V104" s="22"/>
      <c r="W104" s="50"/>
      <c r="X104" s="22"/>
      <c r="Y104" s="22"/>
      <c r="Z104" s="22"/>
      <c r="AA104" s="153"/>
    </row>
    <row r="105" spans="1:27" x14ac:dyDescent="0.25">
      <c r="A105" s="22">
        <f t="shared" si="3"/>
        <v>104</v>
      </c>
      <c r="B105" s="23"/>
      <c r="C105" s="22"/>
      <c r="D105" s="22"/>
      <c r="E105" s="24"/>
      <c r="F105" s="24"/>
      <c r="G105" s="24"/>
      <c r="H105" s="24"/>
      <c r="I105" s="24"/>
      <c r="J105" s="24"/>
      <c r="K105" s="24"/>
      <c r="L105" s="24"/>
      <c r="M105" s="25"/>
      <c r="N105" s="25"/>
      <c r="O105" s="25"/>
      <c r="P105" s="25"/>
      <c r="Q105" s="25"/>
      <c r="R105" s="25"/>
      <c r="S105" s="25"/>
      <c r="T105" s="24"/>
      <c r="U105" s="24"/>
      <c r="V105" s="22"/>
      <c r="W105" s="50"/>
      <c r="X105" s="22"/>
      <c r="Y105" s="22"/>
      <c r="Z105" s="22"/>
      <c r="AA105" s="153"/>
    </row>
    <row r="106" spans="1:27" x14ac:dyDescent="0.25">
      <c r="A106" s="22">
        <f t="shared" si="3"/>
        <v>105</v>
      </c>
      <c r="B106" s="23"/>
      <c r="C106" s="22"/>
      <c r="D106" s="22"/>
      <c r="E106" s="24"/>
      <c r="F106" s="24"/>
      <c r="G106" s="24"/>
      <c r="H106" s="24"/>
      <c r="I106" s="24"/>
      <c r="J106" s="24"/>
      <c r="K106" s="24"/>
      <c r="L106" s="24"/>
      <c r="M106" s="25"/>
      <c r="N106" s="25"/>
      <c r="O106" s="25"/>
      <c r="P106" s="25"/>
      <c r="Q106" s="25"/>
      <c r="R106" s="25"/>
      <c r="S106" s="25"/>
      <c r="T106" s="24"/>
      <c r="U106" s="24"/>
      <c r="V106" s="22"/>
      <c r="W106" s="50"/>
      <c r="X106" s="22"/>
      <c r="Y106" s="22"/>
      <c r="Z106" s="22"/>
      <c r="AA106" s="153"/>
    </row>
    <row r="107" spans="1:27" x14ac:dyDescent="0.25">
      <c r="A107" s="22">
        <f t="shared" si="3"/>
        <v>106</v>
      </c>
      <c r="B107" s="23"/>
      <c r="C107" s="22"/>
      <c r="D107" s="22"/>
      <c r="E107" s="24"/>
      <c r="F107" s="24"/>
      <c r="G107" s="24"/>
      <c r="H107" s="24"/>
      <c r="I107" s="24"/>
      <c r="J107" s="24"/>
      <c r="K107" s="24"/>
      <c r="L107" s="24"/>
      <c r="M107" s="25"/>
      <c r="N107" s="25"/>
      <c r="O107" s="25"/>
      <c r="P107" s="25"/>
      <c r="Q107" s="25"/>
      <c r="R107" s="25"/>
      <c r="S107" s="25"/>
      <c r="T107" s="24"/>
      <c r="U107" s="24"/>
      <c r="V107" s="22"/>
      <c r="W107" s="50"/>
      <c r="X107" s="22"/>
      <c r="Y107" s="22"/>
      <c r="Z107" s="22"/>
      <c r="AA107" s="153"/>
    </row>
    <row r="108" spans="1:27" x14ac:dyDescent="0.25">
      <c r="A108" s="22">
        <f t="shared" si="3"/>
        <v>107</v>
      </c>
      <c r="B108" s="23"/>
      <c r="C108" s="22"/>
      <c r="D108" s="22"/>
      <c r="E108" s="24"/>
      <c r="F108" s="24"/>
      <c r="G108" s="24"/>
      <c r="H108" s="24"/>
      <c r="I108" s="24"/>
      <c r="J108" s="24"/>
      <c r="K108" s="24"/>
      <c r="L108" s="24"/>
      <c r="M108" s="25"/>
      <c r="N108" s="25"/>
      <c r="O108" s="25"/>
      <c r="P108" s="25"/>
      <c r="Q108" s="25"/>
      <c r="R108" s="25"/>
      <c r="S108" s="25"/>
      <c r="T108" s="24"/>
      <c r="U108" s="24"/>
      <c r="V108" s="22"/>
      <c r="W108" s="50"/>
      <c r="X108" s="22"/>
      <c r="Y108" s="22"/>
      <c r="Z108" s="22"/>
      <c r="AA108" s="153"/>
    </row>
    <row r="109" spans="1:27" x14ac:dyDescent="0.25">
      <c r="A109" s="22">
        <f t="shared" si="3"/>
        <v>108</v>
      </c>
      <c r="B109" s="23"/>
      <c r="C109" s="22"/>
      <c r="D109" s="22"/>
      <c r="E109" s="24"/>
      <c r="F109" s="24"/>
      <c r="G109" s="24"/>
      <c r="H109" s="24"/>
      <c r="I109" s="24"/>
      <c r="J109" s="24"/>
      <c r="K109" s="24"/>
      <c r="L109" s="24"/>
      <c r="M109" s="25"/>
      <c r="N109" s="25"/>
      <c r="O109" s="25"/>
      <c r="P109" s="25"/>
      <c r="Q109" s="25"/>
      <c r="R109" s="25"/>
      <c r="S109" s="25"/>
      <c r="T109" s="24"/>
      <c r="U109" s="24"/>
      <c r="V109" s="22"/>
      <c r="W109" s="50"/>
      <c r="X109" s="22"/>
      <c r="Y109" s="22"/>
      <c r="Z109" s="22"/>
      <c r="AA109" s="153"/>
    </row>
    <row r="110" spans="1:27" x14ac:dyDescent="0.25">
      <c r="A110" s="22">
        <f t="shared" si="3"/>
        <v>109</v>
      </c>
      <c r="B110" s="23"/>
      <c r="C110" s="22"/>
      <c r="D110" s="22"/>
      <c r="E110" s="24"/>
      <c r="F110" s="24"/>
      <c r="G110" s="24"/>
      <c r="H110" s="24"/>
      <c r="I110" s="24"/>
      <c r="J110" s="24"/>
      <c r="K110" s="24"/>
      <c r="L110" s="24"/>
      <c r="M110" s="25"/>
      <c r="N110" s="25"/>
      <c r="O110" s="25"/>
      <c r="P110" s="25"/>
      <c r="Q110" s="25"/>
      <c r="R110" s="25"/>
      <c r="S110" s="25"/>
      <c r="T110" s="24"/>
      <c r="U110" s="24"/>
      <c r="V110" s="22"/>
      <c r="W110" s="50"/>
      <c r="X110" s="22"/>
      <c r="Y110" s="22"/>
      <c r="Z110" s="22"/>
      <c r="AA110" s="153"/>
    </row>
    <row r="111" spans="1:27" x14ac:dyDescent="0.25">
      <c r="A111" s="22">
        <f t="shared" si="3"/>
        <v>110</v>
      </c>
      <c r="B111" s="23"/>
      <c r="C111" s="22"/>
      <c r="D111" s="22"/>
      <c r="E111" s="24"/>
      <c r="F111" s="24"/>
      <c r="G111" s="24"/>
      <c r="H111" s="24"/>
      <c r="I111" s="24"/>
      <c r="J111" s="24"/>
      <c r="K111" s="24"/>
      <c r="L111" s="24"/>
      <c r="M111" s="25"/>
      <c r="N111" s="25"/>
      <c r="O111" s="25"/>
      <c r="P111" s="25"/>
      <c r="Q111" s="25"/>
      <c r="R111" s="25"/>
      <c r="S111" s="25"/>
      <c r="T111" s="24"/>
      <c r="U111" s="24"/>
      <c r="V111" s="22"/>
      <c r="W111" s="50"/>
      <c r="X111" s="22"/>
      <c r="Y111" s="22"/>
      <c r="Z111" s="22"/>
      <c r="AA111" s="153"/>
    </row>
    <row r="112" spans="1:27" x14ac:dyDescent="0.25">
      <c r="A112" s="22">
        <f t="shared" si="3"/>
        <v>111</v>
      </c>
      <c r="B112" s="23"/>
      <c r="C112" s="22"/>
      <c r="D112" s="22"/>
      <c r="E112" s="24"/>
      <c r="F112" s="24"/>
      <c r="G112" s="24"/>
      <c r="H112" s="24"/>
      <c r="I112" s="24"/>
      <c r="J112" s="24"/>
      <c r="K112" s="24"/>
      <c r="L112" s="24"/>
      <c r="M112" s="25"/>
      <c r="N112" s="25"/>
      <c r="O112" s="25"/>
      <c r="P112" s="25"/>
      <c r="Q112" s="25"/>
      <c r="R112" s="25"/>
      <c r="S112" s="25"/>
      <c r="T112" s="24"/>
      <c r="U112" s="24"/>
      <c r="V112" s="22"/>
      <c r="W112" s="50"/>
      <c r="X112" s="22"/>
      <c r="Y112" s="22"/>
      <c r="Z112" s="22"/>
      <c r="AA112" s="153"/>
    </row>
    <row r="113" spans="1:27" x14ac:dyDescent="0.25">
      <c r="A113" s="22">
        <f t="shared" si="3"/>
        <v>112</v>
      </c>
      <c r="B113" s="23"/>
      <c r="C113" s="22"/>
      <c r="D113" s="22"/>
      <c r="E113" s="24"/>
      <c r="F113" s="24"/>
      <c r="G113" s="24"/>
      <c r="H113" s="24"/>
      <c r="I113" s="24"/>
      <c r="J113" s="24"/>
      <c r="K113" s="24"/>
      <c r="L113" s="24"/>
      <c r="M113" s="25"/>
      <c r="N113" s="25"/>
      <c r="O113" s="25"/>
      <c r="P113" s="25"/>
      <c r="Q113" s="25"/>
      <c r="R113" s="25"/>
      <c r="S113" s="25"/>
      <c r="T113" s="24"/>
      <c r="U113" s="24"/>
      <c r="V113" s="22"/>
      <c r="W113" s="50"/>
      <c r="X113" s="22"/>
      <c r="Y113" s="22"/>
      <c r="Z113" s="22"/>
      <c r="AA113" s="153"/>
    </row>
    <row r="114" spans="1:27" x14ac:dyDescent="0.25">
      <c r="A114" s="22">
        <f t="shared" si="3"/>
        <v>113</v>
      </c>
      <c r="B114" s="23"/>
      <c r="C114" s="22"/>
      <c r="D114" s="22"/>
      <c r="E114" s="24"/>
      <c r="F114" s="24"/>
      <c r="G114" s="24"/>
      <c r="H114" s="24"/>
      <c r="I114" s="24"/>
      <c r="J114" s="24"/>
      <c r="K114" s="24"/>
      <c r="L114" s="24"/>
      <c r="M114" s="25"/>
      <c r="N114" s="25"/>
      <c r="O114" s="25"/>
      <c r="P114" s="25"/>
      <c r="Q114" s="25"/>
      <c r="R114" s="25"/>
      <c r="S114" s="25"/>
      <c r="T114" s="24"/>
      <c r="U114" s="24"/>
      <c r="V114" s="22"/>
      <c r="W114" s="50"/>
      <c r="X114" s="22"/>
      <c r="Y114" s="22"/>
      <c r="Z114" s="22"/>
      <c r="AA114" s="153"/>
    </row>
    <row r="115" spans="1:27" x14ac:dyDescent="0.25">
      <c r="A115" s="22">
        <f t="shared" si="3"/>
        <v>114</v>
      </c>
      <c r="B115" s="23"/>
      <c r="C115" s="22"/>
      <c r="D115" s="22"/>
      <c r="E115" s="24"/>
      <c r="F115" s="24"/>
      <c r="G115" s="24"/>
      <c r="H115" s="24"/>
      <c r="I115" s="24"/>
      <c r="J115" s="24"/>
      <c r="K115" s="24"/>
      <c r="L115" s="24"/>
      <c r="M115" s="25"/>
      <c r="N115" s="25"/>
      <c r="O115" s="25"/>
      <c r="P115" s="25"/>
      <c r="Q115" s="25"/>
      <c r="R115" s="25"/>
      <c r="S115" s="25"/>
      <c r="T115" s="24"/>
      <c r="U115" s="24"/>
      <c r="V115" s="22"/>
      <c r="W115" s="50"/>
      <c r="X115" s="22"/>
      <c r="Y115" s="22"/>
      <c r="Z115" s="22"/>
      <c r="AA115" s="153"/>
    </row>
    <row r="116" spans="1:27" x14ac:dyDescent="0.25">
      <c r="A116" s="22">
        <f t="shared" si="3"/>
        <v>115</v>
      </c>
      <c r="B116" s="23"/>
      <c r="C116" s="22"/>
      <c r="D116" s="22"/>
      <c r="E116" s="24"/>
      <c r="F116" s="24"/>
      <c r="G116" s="24"/>
      <c r="H116" s="24"/>
      <c r="I116" s="24"/>
      <c r="J116" s="24"/>
      <c r="K116" s="24"/>
      <c r="L116" s="24"/>
      <c r="M116" s="25"/>
      <c r="N116" s="25"/>
      <c r="O116" s="25"/>
      <c r="P116" s="25"/>
      <c r="Q116" s="25"/>
      <c r="R116" s="25"/>
      <c r="S116" s="25"/>
      <c r="T116" s="24"/>
      <c r="U116" s="24"/>
      <c r="V116" s="22"/>
      <c r="W116" s="50"/>
      <c r="X116" s="22"/>
      <c r="Y116" s="22"/>
      <c r="Z116" s="22"/>
      <c r="AA116" s="153"/>
    </row>
    <row r="117" spans="1:27" x14ac:dyDescent="0.25">
      <c r="A117" s="22">
        <f t="shared" si="3"/>
        <v>116</v>
      </c>
      <c r="B117" s="23"/>
      <c r="C117" s="22"/>
      <c r="D117" s="22"/>
      <c r="E117" s="24"/>
      <c r="F117" s="24"/>
      <c r="G117" s="24"/>
      <c r="H117" s="24"/>
      <c r="I117" s="24"/>
      <c r="J117" s="24"/>
      <c r="K117" s="24"/>
      <c r="L117" s="24"/>
      <c r="M117" s="25"/>
      <c r="N117" s="25"/>
      <c r="O117" s="25"/>
      <c r="P117" s="25"/>
      <c r="Q117" s="25"/>
      <c r="R117" s="25"/>
      <c r="S117" s="25"/>
      <c r="T117" s="24"/>
      <c r="U117" s="24"/>
      <c r="V117" s="22"/>
      <c r="W117" s="50"/>
      <c r="X117" s="22"/>
      <c r="Y117" s="22"/>
      <c r="Z117" s="22"/>
      <c r="AA117" s="153"/>
    </row>
    <row r="118" spans="1:27" x14ac:dyDescent="0.25">
      <c r="A118" s="22">
        <f t="shared" si="3"/>
        <v>117</v>
      </c>
      <c r="B118" s="23"/>
      <c r="C118" s="22"/>
      <c r="D118" s="22"/>
      <c r="E118" s="24"/>
      <c r="F118" s="24"/>
      <c r="G118" s="24"/>
      <c r="H118" s="24"/>
      <c r="I118" s="24"/>
      <c r="J118" s="24"/>
      <c r="K118" s="24"/>
      <c r="L118" s="24"/>
      <c r="M118" s="25"/>
      <c r="N118" s="25"/>
      <c r="O118" s="25"/>
      <c r="P118" s="25"/>
      <c r="Q118" s="25"/>
      <c r="R118" s="25"/>
      <c r="S118" s="25"/>
      <c r="T118" s="24"/>
      <c r="U118" s="24"/>
      <c r="V118" s="22"/>
      <c r="W118" s="50"/>
      <c r="X118" s="22"/>
      <c r="Y118" s="22"/>
      <c r="Z118" s="22"/>
      <c r="AA118" s="153"/>
    </row>
    <row r="119" spans="1:27" x14ac:dyDescent="0.25">
      <c r="A119" s="22">
        <f t="shared" si="3"/>
        <v>118</v>
      </c>
      <c r="B119" s="23"/>
      <c r="C119" s="22"/>
      <c r="D119" s="22"/>
      <c r="E119" s="24"/>
      <c r="F119" s="24"/>
      <c r="G119" s="24"/>
      <c r="H119" s="24"/>
      <c r="I119" s="24"/>
      <c r="J119" s="24"/>
      <c r="K119" s="24"/>
      <c r="L119" s="24"/>
      <c r="M119" s="25"/>
      <c r="N119" s="25"/>
      <c r="O119" s="25"/>
      <c r="P119" s="25"/>
      <c r="Q119" s="25"/>
      <c r="R119" s="25"/>
      <c r="S119" s="25"/>
      <c r="T119" s="24"/>
      <c r="U119" s="24"/>
      <c r="V119" s="22"/>
      <c r="W119" s="50"/>
      <c r="X119" s="22"/>
      <c r="Y119" s="22"/>
      <c r="Z119" s="22"/>
      <c r="AA119" s="153"/>
    </row>
    <row r="120" spans="1:27" x14ac:dyDescent="0.25">
      <c r="A120" s="27">
        <f t="shared" si="3"/>
        <v>119</v>
      </c>
      <c r="B120" s="30"/>
      <c r="C120" s="27"/>
      <c r="D120" s="27"/>
      <c r="E120" s="32"/>
      <c r="F120" s="32"/>
      <c r="G120" s="32"/>
      <c r="H120" s="32"/>
      <c r="I120" s="32"/>
      <c r="J120" s="32"/>
      <c r="K120" s="32"/>
      <c r="L120" s="32"/>
      <c r="M120" s="34"/>
      <c r="N120" s="34"/>
      <c r="O120" s="34"/>
      <c r="P120" s="34"/>
      <c r="Q120" s="34"/>
      <c r="R120" s="34"/>
      <c r="S120" s="34"/>
      <c r="T120" s="32"/>
      <c r="U120" s="32"/>
      <c r="V120" s="27"/>
      <c r="W120" s="27"/>
      <c r="X120" s="27"/>
      <c r="Y120" s="27"/>
      <c r="Z120" s="27"/>
      <c r="AA120" s="27"/>
    </row>
  </sheetData>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01CD-6045-40DF-A1BB-F34CE52668C1}">
  <dimension ref="A1:S37"/>
  <sheetViews>
    <sheetView zoomScaleNormal="100" workbookViewId="0">
      <selection activeCell="B4" sqref="B4"/>
    </sheetView>
  </sheetViews>
  <sheetFormatPr baseColWidth="10" defaultRowHeight="15" x14ac:dyDescent="0.25"/>
  <cols>
    <col min="1" max="1" width="25.85546875" customWidth="1"/>
    <col min="2" max="2" width="15.5703125" customWidth="1"/>
    <col min="3" max="14" width="8.5703125" customWidth="1"/>
    <col min="15" max="15" width="8.42578125" customWidth="1"/>
    <col min="16" max="18" width="8.5703125" customWidth="1"/>
    <col min="19" max="19" width="9.7109375" customWidth="1"/>
  </cols>
  <sheetData>
    <row r="1" spans="1:19" x14ac:dyDescent="0.25">
      <c r="A1" s="58" t="s">
        <v>180</v>
      </c>
      <c r="B1" s="233" t="s">
        <v>262</v>
      </c>
      <c r="C1" s="233"/>
      <c r="D1" s="233"/>
      <c r="E1" s="233"/>
      <c r="F1" s="233"/>
      <c r="G1" s="233"/>
      <c r="H1" s="233"/>
      <c r="I1" s="233"/>
      <c r="J1" s="233"/>
      <c r="K1" s="233"/>
      <c r="L1" s="233"/>
      <c r="M1" s="233"/>
      <c r="N1" s="233"/>
      <c r="O1" s="233"/>
      <c r="P1" s="233"/>
      <c r="Q1" s="233"/>
      <c r="R1" s="233"/>
      <c r="S1" s="233"/>
    </row>
    <row r="2" spans="1:19" x14ac:dyDescent="0.25">
      <c r="A2" s="2">
        <v>1</v>
      </c>
      <c r="B2" s="233"/>
      <c r="C2" s="233"/>
      <c r="D2" s="233"/>
      <c r="E2" s="233"/>
      <c r="F2" s="233"/>
      <c r="G2" s="233"/>
      <c r="H2" s="233"/>
      <c r="I2" s="233"/>
      <c r="J2" s="233"/>
      <c r="K2" s="233"/>
      <c r="L2" s="233"/>
      <c r="M2" s="233"/>
      <c r="N2" s="233"/>
      <c r="O2" s="233"/>
      <c r="P2" s="233"/>
      <c r="Q2" s="233"/>
      <c r="R2" s="233"/>
      <c r="S2" s="233"/>
    </row>
    <row r="3" spans="1:19" x14ac:dyDescent="0.25">
      <c r="A3" s="58" t="s">
        <v>200</v>
      </c>
      <c r="B3" s="58" t="s">
        <v>232</v>
      </c>
      <c r="C3" s="61" t="s">
        <v>201</v>
      </c>
      <c r="D3" s="61" t="s">
        <v>1</v>
      </c>
      <c r="E3" s="61" t="s">
        <v>202</v>
      </c>
      <c r="F3" s="61" t="s">
        <v>203</v>
      </c>
      <c r="G3" s="61" t="s">
        <v>204</v>
      </c>
      <c r="H3" s="61" t="s">
        <v>205</v>
      </c>
      <c r="I3" s="61" t="s">
        <v>206</v>
      </c>
      <c r="J3" s="61" t="s">
        <v>7</v>
      </c>
      <c r="K3" s="61" t="s">
        <v>8</v>
      </c>
      <c r="L3" s="61" t="s">
        <v>9</v>
      </c>
      <c r="M3" s="61" t="s">
        <v>10</v>
      </c>
      <c r="N3" s="61" t="s">
        <v>11</v>
      </c>
      <c r="O3" s="61" t="s">
        <v>12</v>
      </c>
      <c r="P3" s="61" t="s">
        <v>13</v>
      </c>
      <c r="Q3" s="61" t="s">
        <v>14</v>
      </c>
      <c r="R3" s="61" t="s">
        <v>15</v>
      </c>
      <c r="S3" s="61" t="s">
        <v>16</v>
      </c>
    </row>
    <row r="4" spans="1:19" x14ac:dyDescent="0.25">
      <c r="A4" s="2" t="s">
        <v>146</v>
      </c>
      <c r="B4" s="60">
        <v>1.1000000000000001</v>
      </c>
      <c r="C4" s="69">
        <v>0</v>
      </c>
      <c r="D4" s="69">
        <v>0</v>
      </c>
      <c r="E4" s="69">
        <v>0.1085</v>
      </c>
      <c r="F4" s="69">
        <v>0</v>
      </c>
      <c r="G4" s="69">
        <v>0</v>
      </c>
      <c r="H4" s="69">
        <v>0</v>
      </c>
      <c r="I4" s="69">
        <v>0</v>
      </c>
      <c r="J4" s="69">
        <v>0</v>
      </c>
      <c r="K4" s="70">
        <v>0</v>
      </c>
      <c r="L4" s="70">
        <v>0</v>
      </c>
      <c r="M4" s="70">
        <v>0</v>
      </c>
      <c r="N4" s="70">
        <v>0</v>
      </c>
      <c r="O4" s="70">
        <v>0</v>
      </c>
      <c r="P4" s="70">
        <v>0</v>
      </c>
      <c r="Q4" s="71">
        <v>0</v>
      </c>
      <c r="R4" s="69">
        <v>0</v>
      </c>
      <c r="S4" s="69">
        <v>0</v>
      </c>
    </row>
    <row r="5" spans="1:19" x14ac:dyDescent="0.25">
      <c r="A5" s="177" t="s">
        <v>207</v>
      </c>
      <c r="B5" s="177"/>
      <c r="C5" s="82">
        <f>($B$4*C4)/$A$2</f>
        <v>0</v>
      </c>
      <c r="D5" s="82">
        <f t="shared" ref="D5:S5" si="0">($B$4*D4)/$A$2</f>
        <v>0</v>
      </c>
      <c r="E5" s="82">
        <f t="shared" si="0"/>
        <v>0.11935000000000001</v>
      </c>
      <c r="F5" s="82">
        <f t="shared" si="0"/>
        <v>0</v>
      </c>
      <c r="G5" s="82">
        <f t="shared" si="0"/>
        <v>0</v>
      </c>
      <c r="H5" s="82">
        <f t="shared" si="0"/>
        <v>0</v>
      </c>
      <c r="I5" s="82">
        <f t="shared" si="0"/>
        <v>0</v>
      </c>
      <c r="J5" s="82">
        <f t="shared" si="0"/>
        <v>0</v>
      </c>
      <c r="K5" s="97">
        <f t="shared" si="0"/>
        <v>0</v>
      </c>
      <c r="L5" s="97">
        <f t="shared" si="0"/>
        <v>0</v>
      </c>
      <c r="M5" s="97">
        <f t="shared" si="0"/>
        <v>0</v>
      </c>
      <c r="N5" s="97">
        <f t="shared" si="0"/>
        <v>0</v>
      </c>
      <c r="O5" s="97">
        <f t="shared" si="0"/>
        <v>0</v>
      </c>
      <c r="P5" s="97">
        <f t="shared" si="0"/>
        <v>0</v>
      </c>
      <c r="Q5" s="82">
        <f t="shared" si="0"/>
        <v>0</v>
      </c>
      <c r="R5" s="82">
        <f t="shared" si="0"/>
        <v>0</v>
      </c>
      <c r="S5" s="82">
        <f t="shared" si="0"/>
        <v>0</v>
      </c>
    </row>
    <row r="7" spans="1:19" x14ac:dyDescent="0.25">
      <c r="A7" s="161" t="s">
        <v>208</v>
      </c>
      <c r="B7" s="161"/>
      <c r="C7" s="58" t="s">
        <v>0</v>
      </c>
      <c r="D7" s="58" t="s">
        <v>1</v>
      </c>
      <c r="E7" s="58" t="s">
        <v>202</v>
      </c>
      <c r="F7" s="58" t="s">
        <v>203</v>
      </c>
      <c r="G7" s="58" t="s">
        <v>204</v>
      </c>
      <c r="H7" s="58" t="s">
        <v>205</v>
      </c>
      <c r="I7" s="58" t="s">
        <v>206</v>
      </c>
      <c r="J7" s="58" t="s">
        <v>7</v>
      </c>
      <c r="K7" s="58" t="s">
        <v>8</v>
      </c>
      <c r="L7" s="58" t="s">
        <v>9</v>
      </c>
      <c r="M7" s="58" t="s">
        <v>10</v>
      </c>
      <c r="N7" s="58" t="s">
        <v>11</v>
      </c>
      <c r="O7" s="58" t="s">
        <v>12</v>
      </c>
      <c r="P7" s="58" t="s">
        <v>13</v>
      </c>
      <c r="Q7" s="58" t="s">
        <v>14</v>
      </c>
      <c r="R7" s="58" t="s">
        <v>15</v>
      </c>
      <c r="S7" s="58" t="s">
        <v>16</v>
      </c>
    </row>
    <row r="8" spans="1:19" x14ac:dyDescent="0.25">
      <c r="A8" s="177" t="s">
        <v>209</v>
      </c>
      <c r="B8" s="177"/>
      <c r="C8" s="12">
        <f>$B$4*C4</f>
        <v>0</v>
      </c>
      <c r="D8" s="12">
        <f t="shared" ref="D8:S8" si="1">$B$4*D4</f>
        <v>0</v>
      </c>
      <c r="E8" s="12">
        <f t="shared" si="1"/>
        <v>0.11935000000000001</v>
      </c>
      <c r="F8" s="12">
        <f t="shared" si="1"/>
        <v>0</v>
      </c>
      <c r="G8" s="12">
        <f t="shared" si="1"/>
        <v>0</v>
      </c>
      <c r="H8" s="12">
        <f t="shared" si="1"/>
        <v>0</v>
      </c>
      <c r="I8" s="12">
        <f t="shared" si="1"/>
        <v>0</v>
      </c>
      <c r="J8" s="12">
        <f t="shared" si="1"/>
        <v>0</v>
      </c>
      <c r="K8" s="108">
        <f t="shared" si="1"/>
        <v>0</v>
      </c>
      <c r="L8" s="108">
        <f t="shared" si="1"/>
        <v>0</v>
      </c>
      <c r="M8" s="108">
        <f t="shared" si="1"/>
        <v>0</v>
      </c>
      <c r="N8" s="108">
        <f t="shared" si="1"/>
        <v>0</v>
      </c>
      <c r="O8" s="108">
        <f t="shared" si="1"/>
        <v>0</v>
      </c>
      <c r="P8" s="108">
        <f t="shared" si="1"/>
        <v>0</v>
      </c>
      <c r="Q8" s="12">
        <f t="shared" si="1"/>
        <v>0</v>
      </c>
      <c r="R8" s="12">
        <f t="shared" si="1"/>
        <v>0</v>
      </c>
      <c r="S8" s="12">
        <f t="shared" si="1"/>
        <v>0</v>
      </c>
    </row>
    <row r="9" spans="1:19" x14ac:dyDescent="0.25">
      <c r="A9" s="77"/>
      <c r="B9" s="77"/>
      <c r="C9" s="35"/>
      <c r="D9" s="35"/>
      <c r="E9" s="35"/>
      <c r="F9" s="35"/>
      <c r="G9" s="35"/>
      <c r="H9" s="35"/>
      <c r="I9" s="35"/>
      <c r="J9" s="35"/>
      <c r="K9" s="35"/>
      <c r="L9" s="35"/>
      <c r="M9" s="35"/>
      <c r="N9" s="35"/>
      <c r="O9" s="35"/>
      <c r="P9" s="35"/>
      <c r="Q9" s="35"/>
      <c r="R9" s="35"/>
      <c r="S9" s="35"/>
    </row>
    <row r="10" spans="1:19" x14ac:dyDescent="0.25">
      <c r="A10" s="161" t="s">
        <v>178</v>
      </c>
      <c r="B10" s="161"/>
      <c r="C10" s="58" t="str">
        <f>Wasserwerte!J47</f>
        <v>NH4+</v>
      </c>
      <c r="D10" s="90" t="str">
        <f>Wasserwerte!K47</f>
        <v>NO3-</v>
      </c>
      <c r="E10" s="90" t="str">
        <f>Wasserwerte!L47</f>
        <v>PO4-³</v>
      </c>
      <c r="F10" s="90" t="str">
        <f>Wasserwerte!M47</f>
        <v>K+</v>
      </c>
      <c r="G10" s="90" t="str">
        <f>Wasserwerte!N47</f>
        <v>Ca+²</v>
      </c>
      <c r="H10" s="90" t="str">
        <f>Wasserwerte!O47</f>
        <v>Mg+²</v>
      </c>
      <c r="I10" s="90" t="str">
        <f>Wasserwerte!P47</f>
        <v>Na+</v>
      </c>
      <c r="J10" s="90" t="str">
        <f>Wasserwerte!Q47</f>
        <v>SO4-²</v>
      </c>
      <c r="K10" s="90" t="str">
        <f>Wasserwerte!R47</f>
        <v>Fe+²</v>
      </c>
      <c r="L10" s="90" t="str">
        <f>Wasserwerte!S47</f>
        <v>Mn+</v>
      </c>
      <c r="M10" s="90" t="str">
        <f>Wasserwerte!T47</f>
        <v>Cu+²</v>
      </c>
      <c r="N10" s="90" t="str">
        <f>Wasserwerte!U47</f>
        <v>Zn+²</v>
      </c>
      <c r="O10" s="90" t="str">
        <f>Wasserwerte!V47</f>
        <v>B+</v>
      </c>
      <c r="P10" s="90" t="str">
        <f>Wasserwerte!W47</f>
        <v>MoO4-²</v>
      </c>
      <c r="Q10" s="90" t="str">
        <f>Wasserwerte!X47</f>
        <v>Cl-</v>
      </c>
      <c r="R10" s="90" t="str">
        <f>Wasserwerte!Y47</f>
        <v>SiO2</v>
      </c>
      <c r="S10" s="90" t="str">
        <f>Wasserwerte!Z47</f>
        <v>HCO3-</v>
      </c>
    </row>
    <row r="11" spans="1:19" x14ac:dyDescent="0.25">
      <c r="A11" s="165" t="s">
        <v>71</v>
      </c>
      <c r="B11" s="165"/>
      <c r="C11" s="66">
        <f>Wasserwerte!J49</f>
        <v>1.2869999999999999</v>
      </c>
      <c r="D11" s="91">
        <f>Wasserwerte!K49</f>
        <v>4.4260000000000002</v>
      </c>
      <c r="E11" s="91">
        <f>Wasserwerte!L49</f>
        <v>1.3380000000000001</v>
      </c>
      <c r="F11" s="91">
        <f>Wasserwerte!M49</f>
        <v>0.83</v>
      </c>
      <c r="G11" s="91">
        <f>Wasserwerte!N49</f>
        <v>0.71499999999999997</v>
      </c>
      <c r="H11" s="91">
        <f>Wasserwerte!O49</f>
        <v>0.60299999999999998</v>
      </c>
      <c r="I11" s="91">
        <f>Wasserwerte!P49</f>
        <v>0.74199999999999999</v>
      </c>
      <c r="J11" s="91">
        <f>Wasserwerte!Q49</f>
        <v>1</v>
      </c>
      <c r="K11" s="91">
        <f>Wasserwerte!R49</f>
        <v>1</v>
      </c>
      <c r="L11" s="91">
        <f>Wasserwerte!S49</f>
        <v>1</v>
      </c>
      <c r="M11" s="91">
        <f>Wasserwerte!T49</f>
        <v>1</v>
      </c>
      <c r="N11" s="91">
        <f>Wasserwerte!U49</f>
        <v>1</v>
      </c>
      <c r="O11" s="91">
        <f>Wasserwerte!V49</f>
        <v>1</v>
      </c>
      <c r="P11" s="91">
        <f>Wasserwerte!W49</f>
        <v>1.6659999999999999</v>
      </c>
      <c r="Q11" s="91">
        <f>Wasserwerte!X49</f>
        <v>1</v>
      </c>
      <c r="R11" s="91">
        <f>Wasserwerte!Y49</f>
        <v>1</v>
      </c>
      <c r="S11" s="91">
        <f>Wasserwerte!Z49</f>
        <v>1.0169999999999999</v>
      </c>
    </row>
    <row r="12" spans="1:19" x14ac:dyDescent="0.25">
      <c r="A12" s="216" t="s">
        <v>211</v>
      </c>
      <c r="B12" s="218"/>
      <c r="C12" s="83">
        <f>Wasserwerte!J50</f>
        <v>18.038460000000001</v>
      </c>
      <c r="D12" s="83">
        <f>Wasserwerte!K50</f>
        <v>62.004899999999999</v>
      </c>
      <c r="E12" s="83">
        <f>Wasserwerte!L50</f>
        <v>94.971400000000003</v>
      </c>
      <c r="F12" s="83">
        <f>Wasserwerte!M50</f>
        <v>39.098300000000002</v>
      </c>
      <c r="G12" s="83">
        <f>Wasserwerte!N50</f>
        <v>40.078000000000003</v>
      </c>
      <c r="H12" s="83">
        <f>Wasserwerte!O50</f>
        <v>24.305</v>
      </c>
      <c r="I12" s="83">
        <f>Wasserwerte!P50</f>
        <v>22.989769280000001</v>
      </c>
      <c r="J12" s="83">
        <f>Wasserwerte!Q50</f>
        <v>96.062600000000003</v>
      </c>
      <c r="K12" s="83">
        <f>Wasserwerte!R50</f>
        <v>55.844999999999999</v>
      </c>
      <c r="L12" s="83">
        <f>Wasserwerte!S50</f>
        <v>54.938045000000002</v>
      </c>
      <c r="M12" s="83">
        <f>Wasserwerte!T50</f>
        <v>63.545999999999999</v>
      </c>
      <c r="N12" s="83">
        <f>Wasserwerte!U50</f>
        <v>65.38</v>
      </c>
      <c r="O12" s="83">
        <f>Wasserwerte!V50</f>
        <v>10.811</v>
      </c>
      <c r="P12" s="83">
        <f>Wasserwerte!W50</f>
        <v>159.95760000000001</v>
      </c>
      <c r="Q12" s="83">
        <f>Wasserwerte!X50</f>
        <v>35.453000000000003</v>
      </c>
      <c r="R12" s="83">
        <f>Wasserwerte!Y50</f>
        <v>60.084299999999999</v>
      </c>
      <c r="S12" s="83">
        <f>Wasserwerte!Z50</f>
        <v>61.016800000000003</v>
      </c>
    </row>
    <row r="13" spans="1:19" x14ac:dyDescent="0.25">
      <c r="A13" s="165" t="s">
        <v>73</v>
      </c>
      <c r="B13" s="165"/>
      <c r="C13" s="66">
        <f>(C8*C11)/C12</f>
        <v>0</v>
      </c>
      <c r="D13" s="66">
        <f t="shared" ref="D13:S13" si="2">(D8*D11)/D12</f>
        <v>0</v>
      </c>
      <c r="E13" s="66">
        <f t="shared" si="2"/>
        <v>1.681456733290233E-3</v>
      </c>
      <c r="F13" s="66">
        <f t="shared" si="2"/>
        <v>0</v>
      </c>
      <c r="G13" s="66">
        <f t="shared" si="2"/>
        <v>0</v>
      </c>
      <c r="H13" s="66">
        <f t="shared" si="2"/>
        <v>0</v>
      </c>
      <c r="I13" s="66">
        <f t="shared" si="2"/>
        <v>0</v>
      </c>
      <c r="J13" s="66">
        <f t="shared" si="2"/>
        <v>0</v>
      </c>
      <c r="K13" s="66">
        <f t="shared" si="2"/>
        <v>0</v>
      </c>
      <c r="L13" s="66">
        <f t="shared" si="2"/>
        <v>0</v>
      </c>
      <c r="M13" s="66">
        <f t="shared" si="2"/>
        <v>0</v>
      </c>
      <c r="N13" s="66">
        <f t="shared" si="2"/>
        <v>0</v>
      </c>
      <c r="O13" s="66">
        <f t="shared" si="2"/>
        <v>0</v>
      </c>
      <c r="P13" s="66">
        <f t="shared" si="2"/>
        <v>0</v>
      </c>
      <c r="Q13" s="66">
        <f t="shared" si="2"/>
        <v>0</v>
      </c>
      <c r="R13" s="66">
        <f t="shared" si="2"/>
        <v>0</v>
      </c>
      <c r="S13" s="66">
        <f t="shared" si="2"/>
        <v>0</v>
      </c>
    </row>
    <row r="14" spans="1:19" x14ac:dyDescent="0.25">
      <c r="A14" s="197" t="s">
        <v>74</v>
      </c>
      <c r="B14" s="197"/>
      <c r="C14" s="67">
        <f>C13/$A$2</f>
        <v>0</v>
      </c>
      <c r="D14" s="67">
        <f t="shared" ref="D14:S14" si="3">D13/$A$2</f>
        <v>0</v>
      </c>
      <c r="E14" s="67">
        <f t="shared" si="3"/>
        <v>1.681456733290233E-3</v>
      </c>
      <c r="F14" s="67">
        <f t="shared" si="3"/>
        <v>0</v>
      </c>
      <c r="G14" s="67">
        <f t="shared" si="3"/>
        <v>0</v>
      </c>
      <c r="H14" s="67">
        <f t="shared" si="3"/>
        <v>0</v>
      </c>
      <c r="I14" s="67">
        <f t="shared" si="3"/>
        <v>0</v>
      </c>
      <c r="J14" s="67">
        <f t="shared" si="3"/>
        <v>0</v>
      </c>
      <c r="K14" s="67">
        <f t="shared" si="3"/>
        <v>0</v>
      </c>
      <c r="L14" s="67">
        <f t="shared" si="3"/>
        <v>0</v>
      </c>
      <c r="M14" s="67">
        <f t="shared" si="3"/>
        <v>0</v>
      </c>
      <c r="N14" s="67">
        <f t="shared" si="3"/>
        <v>0</v>
      </c>
      <c r="O14" s="67">
        <f t="shared" si="3"/>
        <v>0</v>
      </c>
      <c r="P14" s="67">
        <f t="shared" si="3"/>
        <v>0</v>
      </c>
      <c r="Q14" s="67">
        <f t="shared" si="3"/>
        <v>0</v>
      </c>
      <c r="R14" s="67">
        <f t="shared" si="3"/>
        <v>0</v>
      </c>
      <c r="S14" s="67">
        <f t="shared" si="3"/>
        <v>0</v>
      </c>
    </row>
    <row r="15" spans="1:19" x14ac:dyDescent="0.25">
      <c r="A15" s="165" t="s">
        <v>212</v>
      </c>
      <c r="B15" s="165"/>
      <c r="C15" s="66">
        <v>1</v>
      </c>
      <c r="D15" s="66">
        <v>1</v>
      </c>
      <c r="E15" s="64">
        <v>3.5</v>
      </c>
      <c r="F15" s="66">
        <v>1</v>
      </c>
      <c r="G15" s="66">
        <v>2</v>
      </c>
      <c r="H15" s="66">
        <v>2</v>
      </c>
      <c r="I15" s="66">
        <v>1</v>
      </c>
      <c r="J15" s="111">
        <v>2</v>
      </c>
      <c r="K15" s="2">
        <v>2</v>
      </c>
      <c r="L15" s="66">
        <v>2</v>
      </c>
      <c r="M15" s="66">
        <v>2</v>
      </c>
      <c r="N15" s="66">
        <v>2</v>
      </c>
      <c r="O15" s="66">
        <v>0</v>
      </c>
      <c r="P15" s="66">
        <v>2</v>
      </c>
      <c r="Q15" s="66">
        <v>1</v>
      </c>
      <c r="R15" s="66">
        <v>0</v>
      </c>
      <c r="S15" s="64">
        <v>1</v>
      </c>
    </row>
    <row r="16" spans="1:19" x14ac:dyDescent="0.25">
      <c r="A16" s="197" t="s">
        <v>213</v>
      </c>
      <c r="B16" s="197"/>
      <c r="C16" s="67">
        <f>C14*C15</f>
        <v>0</v>
      </c>
      <c r="D16" s="92">
        <f t="shared" ref="D16:S16" si="4">D14*D15</f>
        <v>0</v>
      </c>
      <c r="E16" s="92">
        <f t="shared" si="4"/>
        <v>5.8850985665158152E-3</v>
      </c>
      <c r="F16" s="92">
        <f t="shared" si="4"/>
        <v>0</v>
      </c>
      <c r="G16" s="92">
        <f t="shared" si="4"/>
        <v>0</v>
      </c>
      <c r="H16" s="92">
        <f t="shared" si="4"/>
        <v>0</v>
      </c>
      <c r="I16" s="92">
        <f t="shared" si="4"/>
        <v>0</v>
      </c>
      <c r="J16" s="92">
        <f t="shared" si="4"/>
        <v>0</v>
      </c>
      <c r="K16" s="92">
        <f t="shared" si="4"/>
        <v>0</v>
      </c>
      <c r="L16" s="92">
        <f t="shared" si="4"/>
        <v>0</v>
      </c>
      <c r="M16" s="92">
        <f t="shared" si="4"/>
        <v>0</v>
      </c>
      <c r="N16" s="92">
        <f t="shared" si="4"/>
        <v>0</v>
      </c>
      <c r="O16" s="92">
        <f t="shared" si="4"/>
        <v>0</v>
      </c>
      <c r="P16" s="92">
        <f t="shared" si="4"/>
        <v>0</v>
      </c>
      <c r="Q16" s="92">
        <f t="shared" si="4"/>
        <v>0</v>
      </c>
      <c r="R16" s="92">
        <f t="shared" si="4"/>
        <v>0</v>
      </c>
      <c r="S16" s="92">
        <f t="shared" si="4"/>
        <v>0</v>
      </c>
    </row>
    <row r="17" spans="1:19" x14ac:dyDescent="0.25">
      <c r="A17" s="165" t="s">
        <v>214</v>
      </c>
      <c r="B17" s="165"/>
      <c r="C17" s="66">
        <f>Wasserwerte!J56</f>
        <v>73</v>
      </c>
      <c r="D17" s="91">
        <f>Wasserwerte!K56</f>
        <v>71</v>
      </c>
      <c r="E17" s="91">
        <f>Wasserwerte!L56</f>
        <v>51</v>
      </c>
      <c r="F17" s="91">
        <f>Wasserwerte!M56</f>
        <v>73</v>
      </c>
      <c r="G17" s="91">
        <f>Wasserwerte!N56</f>
        <v>60</v>
      </c>
      <c r="H17" s="91">
        <f>Wasserwerte!O56</f>
        <v>53</v>
      </c>
      <c r="I17" s="91">
        <f>Wasserwerte!P56</f>
        <v>55</v>
      </c>
      <c r="J17" s="91">
        <f>Wasserwerte!Q56</f>
        <v>80.400000000000006</v>
      </c>
      <c r="K17" s="91">
        <f>Wasserwerte!R56</f>
        <v>54</v>
      </c>
      <c r="L17" s="91">
        <f>Wasserwerte!S56</f>
        <v>51</v>
      </c>
      <c r="M17" s="91">
        <f>Wasserwerte!T56</f>
        <v>53</v>
      </c>
      <c r="N17" s="91">
        <f>Wasserwerte!U56</f>
        <v>52</v>
      </c>
      <c r="O17" s="91">
        <f>Wasserwerte!V56</f>
        <v>0</v>
      </c>
      <c r="P17" s="91">
        <f>Wasserwerte!W56</f>
        <v>149</v>
      </c>
      <c r="Q17" s="91">
        <f>Wasserwerte!X56</f>
        <v>76</v>
      </c>
      <c r="R17" s="91">
        <f>Wasserwerte!Y56</f>
        <v>36</v>
      </c>
      <c r="S17" s="91">
        <f>Wasserwerte!Z56</f>
        <v>44</v>
      </c>
    </row>
    <row r="18" spans="1:19" x14ac:dyDescent="0.25">
      <c r="A18" s="197" t="s">
        <v>215</v>
      </c>
      <c r="B18" s="197"/>
      <c r="C18" s="67">
        <f>C16*C17</f>
        <v>0</v>
      </c>
      <c r="D18" s="92">
        <f t="shared" ref="D18:S18" si="5">D16*D17</f>
        <v>0</v>
      </c>
      <c r="E18" s="92">
        <f t="shared" si="5"/>
        <v>0.30014002689230657</v>
      </c>
      <c r="F18" s="92">
        <f t="shared" si="5"/>
        <v>0</v>
      </c>
      <c r="G18" s="92">
        <f t="shared" si="5"/>
        <v>0</v>
      </c>
      <c r="H18" s="92">
        <f t="shared" si="5"/>
        <v>0</v>
      </c>
      <c r="I18" s="92">
        <f t="shared" si="5"/>
        <v>0</v>
      </c>
      <c r="J18" s="92">
        <f t="shared" si="5"/>
        <v>0</v>
      </c>
      <c r="K18" s="92">
        <f t="shared" si="5"/>
        <v>0</v>
      </c>
      <c r="L18" s="92">
        <f t="shared" si="5"/>
        <v>0</v>
      </c>
      <c r="M18" s="92">
        <f t="shared" si="5"/>
        <v>0</v>
      </c>
      <c r="N18" s="92">
        <f t="shared" si="5"/>
        <v>0</v>
      </c>
      <c r="O18" s="92">
        <f t="shared" si="5"/>
        <v>0</v>
      </c>
      <c r="P18" s="92">
        <f t="shared" si="5"/>
        <v>0</v>
      </c>
      <c r="Q18" s="92">
        <f t="shared" si="5"/>
        <v>0</v>
      </c>
      <c r="R18" s="92">
        <f t="shared" si="5"/>
        <v>0</v>
      </c>
      <c r="S18" s="92">
        <f t="shared" si="5"/>
        <v>0</v>
      </c>
    </row>
    <row r="19" spans="1:19" x14ac:dyDescent="0.25">
      <c r="A19" s="177" t="s">
        <v>216</v>
      </c>
      <c r="B19" s="177"/>
      <c r="C19" s="72">
        <f>SUM(C18:S18)</f>
        <v>0.30014002689230657</v>
      </c>
      <c r="E19" s="73" t="s">
        <v>398</v>
      </c>
      <c r="F19" s="35"/>
      <c r="G19" s="35"/>
      <c r="H19" s="35"/>
      <c r="I19" s="35"/>
      <c r="J19" s="73" t="s">
        <v>399</v>
      </c>
      <c r="K19" s="73" t="s">
        <v>400</v>
      </c>
      <c r="L19" s="35"/>
      <c r="M19" s="35"/>
      <c r="N19" s="35"/>
      <c r="O19" s="35"/>
      <c r="P19" s="35"/>
      <c r="Q19" s="35"/>
      <c r="R19" s="35"/>
      <c r="S19" s="73" t="s">
        <v>340</v>
      </c>
    </row>
    <row r="20" spans="1:19" x14ac:dyDescent="0.25">
      <c r="A20" s="184" t="s">
        <v>321</v>
      </c>
      <c r="B20" s="184"/>
      <c r="C20" s="12">
        <f>C19+Wasserwerte!P12</f>
        <v>0.47778002689230659</v>
      </c>
      <c r="D20" s="9"/>
      <c r="E20" s="9"/>
      <c r="F20" s="9"/>
    </row>
    <row r="22" spans="1:19" x14ac:dyDescent="0.25">
      <c r="K22" s="161" t="s">
        <v>233</v>
      </c>
      <c r="L22" s="161"/>
      <c r="M22" s="161"/>
      <c r="N22" s="161"/>
      <c r="O22" s="161"/>
    </row>
    <row r="23" spans="1:19" x14ac:dyDescent="0.25">
      <c r="B23" s="190" t="s">
        <v>335</v>
      </c>
      <c r="C23" s="190"/>
      <c r="D23" s="190"/>
      <c r="F23" s="161" t="s">
        <v>369</v>
      </c>
      <c r="G23" s="161"/>
      <c r="H23" s="161"/>
      <c r="I23" s="161"/>
      <c r="K23" s="219" t="s">
        <v>219</v>
      </c>
      <c r="L23" s="221"/>
      <c r="M23" s="57" t="s">
        <v>4</v>
      </c>
      <c r="N23" s="57" t="s">
        <v>5</v>
      </c>
      <c r="O23" s="57" t="s">
        <v>16</v>
      </c>
    </row>
    <row r="24" spans="1:19" x14ac:dyDescent="0.25">
      <c r="B24" s="190"/>
      <c r="C24" s="190"/>
      <c r="D24" s="190"/>
      <c r="F24" s="165" t="s">
        <v>370</v>
      </c>
      <c r="G24" s="165"/>
      <c r="H24" s="74">
        <v>8.9999999999999993E-3</v>
      </c>
      <c r="I24" s="47">
        <f>H24*Wasserwerte!X44</f>
        <v>1.7999999999999999E-2</v>
      </c>
      <c r="K24" s="57" t="s">
        <v>220</v>
      </c>
      <c r="L24" s="75">
        <v>0.55000000000000004</v>
      </c>
      <c r="M24" s="47">
        <f>L24*0.5603</f>
        <v>0.30816500000000002</v>
      </c>
      <c r="N24" s="76">
        <v>0</v>
      </c>
      <c r="O24" s="76">
        <f>L24*0.599568</f>
        <v>0.32976240000000001</v>
      </c>
    </row>
    <row r="25" spans="1:19" ht="15" customHeight="1" x14ac:dyDescent="0.25">
      <c r="B25" s="190"/>
      <c r="C25" s="190"/>
      <c r="D25" s="190"/>
      <c r="F25" s="161" t="s">
        <v>217</v>
      </c>
      <c r="G25" s="161"/>
      <c r="H25" s="161"/>
      <c r="I25" s="161"/>
      <c r="K25" s="57" t="s">
        <v>222</v>
      </c>
      <c r="L25" s="75">
        <v>0.38</v>
      </c>
      <c r="M25" s="76">
        <v>0</v>
      </c>
      <c r="N25" s="47">
        <f>L25*0.478</f>
        <v>0.18164</v>
      </c>
      <c r="O25" s="76">
        <f>L25*0.711732</f>
        <v>0.27045816</v>
      </c>
    </row>
    <row r="26" spans="1:19" x14ac:dyDescent="0.25">
      <c r="B26" s="190"/>
      <c r="C26" s="190"/>
      <c r="D26" s="190"/>
      <c r="F26" s="165" t="s">
        <v>218</v>
      </c>
      <c r="G26" s="165"/>
      <c r="H26" s="74">
        <v>0.02</v>
      </c>
      <c r="I26" s="47">
        <f>H26*Wasserwerte!X17</f>
        <v>4.582E-2</v>
      </c>
      <c r="K26" s="232" t="s">
        <v>224</v>
      </c>
      <c r="L26" s="232"/>
      <c r="M26" s="232"/>
      <c r="N26" s="232"/>
      <c r="O26" s="47">
        <f>O24+O25</f>
        <v>0.60022056000000001</v>
      </c>
    </row>
    <row r="27" spans="1:19" x14ac:dyDescent="0.25">
      <c r="B27" s="190"/>
      <c r="C27" s="190"/>
      <c r="D27" s="190"/>
      <c r="F27" s="161" t="s">
        <v>221</v>
      </c>
      <c r="G27" s="161"/>
      <c r="H27" s="161"/>
      <c r="I27" s="161"/>
    </row>
    <row r="28" spans="1:19" x14ac:dyDescent="0.25">
      <c r="B28" s="190"/>
      <c r="C28" s="190"/>
      <c r="D28" s="190"/>
      <c r="F28" s="165" t="s">
        <v>223</v>
      </c>
      <c r="G28" s="165"/>
      <c r="H28" s="74">
        <v>0.04</v>
      </c>
      <c r="I28" s="47">
        <f>H28*Wasserwerte!X18</f>
        <v>4.8160000000000001E-2</v>
      </c>
      <c r="K28" s="9"/>
      <c r="L28" s="9"/>
      <c r="M28" s="9"/>
      <c r="N28" s="9"/>
    </row>
    <row r="29" spans="1:19" x14ac:dyDescent="0.25">
      <c r="B29" s="190"/>
      <c r="C29" s="190"/>
      <c r="D29" s="190"/>
      <c r="F29" s="161" t="s">
        <v>225</v>
      </c>
      <c r="G29" s="161"/>
      <c r="H29" s="161"/>
      <c r="I29" s="161"/>
    </row>
    <row r="30" spans="1:19" x14ac:dyDescent="0.25">
      <c r="B30" s="190"/>
      <c r="C30" s="190"/>
      <c r="D30" s="190"/>
      <c r="F30" s="165" t="s">
        <v>226</v>
      </c>
      <c r="G30" s="165"/>
      <c r="H30" s="74">
        <v>0.15</v>
      </c>
      <c r="I30" s="47">
        <f>H30*Wasserwerte!X19</f>
        <v>0.20985000000000001</v>
      </c>
    </row>
    <row r="31" spans="1:19" x14ac:dyDescent="0.25">
      <c r="B31" s="190"/>
      <c r="C31" s="190"/>
      <c r="D31" s="190"/>
      <c r="F31" s="161" t="s">
        <v>227</v>
      </c>
      <c r="G31" s="161"/>
      <c r="H31" s="161"/>
      <c r="I31" s="161"/>
    </row>
    <row r="32" spans="1:19" x14ac:dyDescent="0.25">
      <c r="F32" s="165" t="s">
        <v>228</v>
      </c>
      <c r="G32" s="165"/>
      <c r="H32" s="74">
        <v>1.9E-2</v>
      </c>
      <c r="I32" s="47">
        <f>H32*Wasserwerte!X20</f>
        <v>3.1501999999999995E-2</v>
      </c>
    </row>
    <row r="33" spans="6:9" x14ac:dyDescent="0.25">
      <c r="F33" s="161" t="s">
        <v>375</v>
      </c>
      <c r="G33" s="161"/>
      <c r="H33" s="161"/>
      <c r="I33" s="161"/>
    </row>
    <row r="34" spans="6:9" x14ac:dyDescent="0.25">
      <c r="F34" s="165" t="s">
        <v>376</v>
      </c>
      <c r="G34" s="165"/>
      <c r="H34" s="74">
        <v>8.8000000000000005E-3</v>
      </c>
      <c r="I34" s="47">
        <f>H34*Wasserwerte!X21</f>
        <v>1.1853600000000001E-2</v>
      </c>
    </row>
    <row r="35" spans="6:9" x14ac:dyDescent="0.25">
      <c r="F35" s="161" t="s">
        <v>229</v>
      </c>
      <c r="G35" s="161"/>
      <c r="H35" s="161"/>
      <c r="I35" s="161"/>
    </row>
    <row r="36" spans="6:9" x14ac:dyDescent="0.25">
      <c r="F36" s="165" t="s">
        <v>230</v>
      </c>
      <c r="G36" s="165"/>
      <c r="H36" s="74">
        <v>0.02</v>
      </c>
      <c r="I36" s="47">
        <f>H36*Wasserwerte!X22</f>
        <v>5.9920000000000001E-2</v>
      </c>
    </row>
    <row r="37" spans="6:9" x14ac:dyDescent="0.25">
      <c r="F37" s="165" t="s">
        <v>231</v>
      </c>
      <c r="G37" s="165"/>
      <c r="H37" s="74">
        <v>0.32500000000000001</v>
      </c>
      <c r="I37" s="47">
        <f>H37*1.198</f>
        <v>0.38934999999999997</v>
      </c>
    </row>
  </sheetData>
  <mergeCells count="34">
    <mergeCell ref="B1:S2"/>
    <mergeCell ref="A5:B5"/>
    <mergeCell ref="A7:B7"/>
    <mergeCell ref="A8:B8"/>
    <mergeCell ref="A10:B10"/>
    <mergeCell ref="A11:B11"/>
    <mergeCell ref="A12:B12"/>
    <mergeCell ref="A13:B13"/>
    <mergeCell ref="A14:B14"/>
    <mergeCell ref="K22:O22"/>
    <mergeCell ref="K23:L23"/>
    <mergeCell ref="K26:N26"/>
    <mergeCell ref="A15:B15"/>
    <mergeCell ref="A16:B16"/>
    <mergeCell ref="A17:B17"/>
    <mergeCell ref="A18:B18"/>
    <mergeCell ref="A19:B19"/>
    <mergeCell ref="A20:B20"/>
    <mergeCell ref="F29:I29"/>
    <mergeCell ref="F30:G30"/>
    <mergeCell ref="B23:D31"/>
    <mergeCell ref="F31:I31"/>
    <mergeCell ref="F23:I23"/>
    <mergeCell ref="F24:G24"/>
    <mergeCell ref="F25:I25"/>
    <mergeCell ref="F26:G26"/>
    <mergeCell ref="F27:I27"/>
    <mergeCell ref="F28:G28"/>
    <mergeCell ref="F34:G34"/>
    <mergeCell ref="F32:G32"/>
    <mergeCell ref="F35:I35"/>
    <mergeCell ref="F36:G36"/>
    <mergeCell ref="F37:G37"/>
    <mergeCell ref="F33:I33"/>
  </mergeCells>
  <pageMargins left="0.7" right="0.7" top="0.78740157499999996" bottom="0.78740157499999996" header="0.3" footer="0.3"/>
  <pageSetup paperSize="9" orientation="portrait" r:id="rId1"/>
  <ignoredErrors>
    <ignoredError sqref="C17:S1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36E7-122C-4AEF-91DD-067BD75689FB}">
  <dimension ref="A1:N23"/>
  <sheetViews>
    <sheetView workbookViewId="0">
      <selection activeCell="D13" sqref="D13"/>
    </sheetView>
  </sheetViews>
  <sheetFormatPr baseColWidth="10" defaultRowHeight="15" x14ac:dyDescent="0.25"/>
  <cols>
    <col min="1" max="1" width="12.7109375" customWidth="1"/>
    <col min="6" max="6" width="13.140625" customWidth="1"/>
  </cols>
  <sheetData>
    <row r="1" spans="1:14" x14ac:dyDescent="0.25">
      <c r="A1" s="171" t="s">
        <v>234</v>
      </c>
      <c r="B1" s="161" t="s">
        <v>235</v>
      </c>
      <c r="C1" s="171" t="s">
        <v>236</v>
      </c>
      <c r="D1" s="171" t="s">
        <v>237</v>
      </c>
      <c r="E1" s="35"/>
      <c r="F1" s="78"/>
      <c r="G1" s="78"/>
      <c r="H1" s="78"/>
      <c r="I1" s="78"/>
      <c r="J1" s="78"/>
      <c r="K1" s="78"/>
      <c r="L1" s="78"/>
      <c r="M1" s="78"/>
      <c r="N1" s="78"/>
    </row>
    <row r="2" spans="1:14" x14ac:dyDescent="0.25">
      <c r="A2" s="171"/>
      <c r="B2" s="161"/>
      <c r="C2" s="171"/>
      <c r="D2" s="171"/>
      <c r="E2" s="35"/>
      <c r="F2" s="35"/>
      <c r="G2" s="35"/>
      <c r="H2" s="35"/>
      <c r="I2" s="35"/>
      <c r="J2" s="35"/>
      <c r="K2" s="78"/>
      <c r="L2" s="78"/>
      <c r="M2" s="78"/>
      <c r="N2" s="78"/>
    </row>
    <row r="3" spans="1:14" x14ac:dyDescent="0.25">
      <c r="A3" s="57" t="s">
        <v>238</v>
      </c>
      <c r="B3" s="57" t="s">
        <v>239</v>
      </c>
      <c r="C3" s="57">
        <v>1.51</v>
      </c>
      <c r="D3" s="57">
        <v>63.01</v>
      </c>
      <c r="E3" s="35"/>
      <c r="F3" s="190" t="s">
        <v>260</v>
      </c>
      <c r="G3" s="190"/>
      <c r="H3" s="190"/>
      <c r="I3" s="190"/>
      <c r="J3" s="190"/>
      <c r="K3" s="190"/>
      <c r="L3" s="190"/>
      <c r="M3" s="190"/>
    </row>
    <row r="4" spans="1:14" x14ac:dyDescent="0.25">
      <c r="A4" s="57" t="s">
        <v>240</v>
      </c>
      <c r="B4" s="57" t="s">
        <v>241</v>
      </c>
      <c r="C4" s="57">
        <v>1.88</v>
      </c>
      <c r="D4" s="57">
        <v>97.994</v>
      </c>
      <c r="E4" s="35"/>
      <c r="F4" s="190"/>
      <c r="G4" s="190"/>
      <c r="H4" s="190"/>
      <c r="I4" s="190"/>
      <c r="J4" s="190"/>
      <c r="K4" s="190"/>
      <c r="L4" s="190"/>
      <c r="M4" s="190"/>
      <c r="N4" s="78"/>
    </row>
    <row r="5" spans="1:14" x14ac:dyDescent="0.25">
      <c r="A5" s="57" t="s">
        <v>242</v>
      </c>
      <c r="B5" s="57" t="s">
        <v>243</v>
      </c>
      <c r="C5" s="57">
        <v>1.84</v>
      </c>
      <c r="D5" s="57">
        <v>98.08</v>
      </c>
      <c r="E5" s="35"/>
      <c r="F5" s="78"/>
      <c r="G5" s="78"/>
      <c r="H5" s="78"/>
      <c r="I5" s="78"/>
      <c r="J5" s="78"/>
      <c r="K5" s="78"/>
      <c r="L5" s="78"/>
      <c r="M5" s="78"/>
      <c r="N5" s="78"/>
    </row>
    <row r="6" spans="1:14" x14ac:dyDescent="0.25">
      <c r="A6" s="78"/>
      <c r="B6" s="78"/>
      <c r="C6" s="78"/>
      <c r="D6" s="78"/>
      <c r="E6" s="78"/>
      <c r="F6" s="78"/>
      <c r="G6" s="78"/>
      <c r="H6" s="78"/>
      <c r="I6" s="161" t="s">
        <v>244</v>
      </c>
      <c r="J6" s="161"/>
      <c r="K6" s="161"/>
      <c r="L6" s="161"/>
      <c r="M6" s="161"/>
      <c r="N6" s="161"/>
    </row>
    <row r="7" spans="1:14" x14ac:dyDescent="0.25">
      <c r="A7" s="78"/>
      <c r="B7" s="78"/>
      <c r="C7" s="78"/>
      <c r="D7" s="78"/>
      <c r="E7" s="78"/>
      <c r="F7" s="78"/>
      <c r="G7" s="78"/>
      <c r="H7" s="78"/>
      <c r="I7" s="190" t="s">
        <v>245</v>
      </c>
      <c r="J7" s="190"/>
      <c r="K7" s="190"/>
      <c r="L7" s="190"/>
      <c r="M7" s="190"/>
      <c r="N7" s="190"/>
    </row>
    <row r="8" spans="1:14" x14ac:dyDescent="0.25">
      <c r="A8" s="165" t="s">
        <v>345</v>
      </c>
      <c r="B8" s="165"/>
      <c r="C8" s="165"/>
      <c r="D8" s="165"/>
      <c r="E8" s="165"/>
      <c r="F8" s="165"/>
      <c r="G8" s="165"/>
      <c r="H8" s="79"/>
      <c r="I8" s="190"/>
      <c r="J8" s="190"/>
      <c r="K8" s="190"/>
      <c r="L8" s="190"/>
      <c r="M8" s="190"/>
      <c r="N8" s="190"/>
    </row>
    <row r="9" spans="1:14" ht="15" customHeight="1" x14ac:dyDescent="0.25">
      <c r="A9" s="161" t="s">
        <v>234</v>
      </c>
      <c r="B9" s="171" t="s">
        <v>246</v>
      </c>
      <c r="C9" s="171" t="s">
        <v>346</v>
      </c>
      <c r="D9" s="171" t="s">
        <v>247</v>
      </c>
      <c r="E9" s="171" t="s">
        <v>248</v>
      </c>
      <c r="F9" s="171" t="s">
        <v>249</v>
      </c>
      <c r="G9" s="171" t="s">
        <v>250</v>
      </c>
      <c r="H9" s="35"/>
      <c r="I9" s="190"/>
      <c r="J9" s="190"/>
      <c r="K9" s="190"/>
      <c r="L9" s="190"/>
      <c r="M9" s="190"/>
      <c r="N9" s="190"/>
    </row>
    <row r="10" spans="1:14" x14ac:dyDescent="0.25">
      <c r="A10" s="161"/>
      <c r="B10" s="171"/>
      <c r="C10" s="171"/>
      <c r="D10" s="171"/>
      <c r="E10" s="171"/>
      <c r="F10" s="171"/>
      <c r="G10" s="171"/>
      <c r="H10" s="35"/>
      <c r="I10" s="190"/>
      <c r="J10" s="190"/>
      <c r="K10" s="190"/>
      <c r="L10" s="190"/>
      <c r="M10" s="190"/>
      <c r="N10" s="190"/>
    </row>
    <row r="11" spans="1:14" x14ac:dyDescent="0.25">
      <c r="A11" s="161"/>
      <c r="B11" s="171"/>
      <c r="C11" s="171"/>
      <c r="D11" s="171"/>
      <c r="E11" s="171"/>
      <c r="F11" s="171"/>
      <c r="G11" s="171"/>
      <c r="I11" s="35"/>
      <c r="J11" s="35"/>
      <c r="K11" s="35"/>
      <c r="L11" s="35"/>
      <c r="M11" s="35"/>
      <c r="N11" s="35"/>
    </row>
    <row r="12" spans="1:14" x14ac:dyDescent="0.25">
      <c r="A12" s="57" t="s">
        <v>238</v>
      </c>
      <c r="B12" s="75">
        <v>0.53</v>
      </c>
      <c r="C12" s="60">
        <v>1000</v>
      </c>
      <c r="D12" s="60">
        <v>64</v>
      </c>
      <c r="E12" s="57">
        <f>D12*C3</f>
        <v>96.64</v>
      </c>
      <c r="F12" s="59">
        <f>C12-D12</f>
        <v>936</v>
      </c>
      <c r="G12" s="47">
        <f>(E12*B12)/(E12+F12)</f>
        <v>4.9600247908273935E-2</v>
      </c>
      <c r="H12" s="35"/>
      <c r="I12" s="237" t="s">
        <v>251</v>
      </c>
      <c r="J12" s="237"/>
      <c r="K12" s="237"/>
      <c r="L12" s="237"/>
      <c r="M12" s="237"/>
      <c r="N12" s="35"/>
    </row>
    <row r="13" spans="1:14" x14ac:dyDescent="0.25">
      <c r="A13" s="57" t="s">
        <v>240</v>
      </c>
      <c r="B13" s="75">
        <v>0.85</v>
      </c>
      <c r="C13" s="60">
        <v>1000</v>
      </c>
      <c r="D13" s="60">
        <v>102</v>
      </c>
      <c r="E13" s="57">
        <f>D13*C4</f>
        <v>191.76</v>
      </c>
      <c r="F13" s="59">
        <f>C13-D13</f>
        <v>898</v>
      </c>
      <c r="G13" s="47">
        <f>(E13*B13)/(E13+F13)</f>
        <v>0.14957054764351782</v>
      </c>
      <c r="H13" s="35"/>
      <c r="I13" s="238" t="s">
        <v>252</v>
      </c>
      <c r="J13" s="239"/>
      <c r="K13" s="239"/>
      <c r="L13" s="239"/>
      <c r="M13" s="239"/>
      <c r="N13" s="35"/>
    </row>
    <row r="14" spans="1:14" x14ac:dyDescent="0.25">
      <c r="A14" s="57" t="s">
        <v>242</v>
      </c>
      <c r="B14" s="75">
        <v>0.96</v>
      </c>
      <c r="C14" s="60">
        <v>1000</v>
      </c>
      <c r="D14" s="60">
        <v>258</v>
      </c>
      <c r="E14" s="57">
        <f>D14*C5</f>
        <v>474.72</v>
      </c>
      <c r="F14" s="59">
        <f>C14-D14</f>
        <v>742</v>
      </c>
      <c r="G14" s="47">
        <f t="shared" ref="G14" si="0">(E14*B14)/(E14+F14)</f>
        <v>0.37455717009665329</v>
      </c>
      <c r="H14" s="35"/>
      <c r="N14" s="35"/>
    </row>
    <row r="15" spans="1:14" x14ac:dyDescent="0.25">
      <c r="A15" s="179" t="s">
        <v>347</v>
      </c>
      <c r="B15" s="179"/>
      <c r="C15" s="179"/>
      <c r="D15" s="179"/>
      <c r="E15" s="179"/>
      <c r="F15" s="179"/>
      <c r="G15" s="179"/>
      <c r="H15" s="35"/>
      <c r="I15" s="162" t="s">
        <v>261</v>
      </c>
      <c r="J15" s="163"/>
      <c r="K15" s="164"/>
      <c r="L15" s="161" t="s">
        <v>97</v>
      </c>
      <c r="M15" s="161"/>
      <c r="N15" s="35"/>
    </row>
    <row r="16" spans="1:14" x14ac:dyDescent="0.25">
      <c r="I16" s="59" t="s">
        <v>95</v>
      </c>
      <c r="J16" s="59" t="s">
        <v>96</v>
      </c>
      <c r="K16" s="59" t="s">
        <v>26</v>
      </c>
      <c r="L16" s="59" t="s">
        <v>98</v>
      </c>
      <c r="M16" s="59" t="s">
        <v>100</v>
      </c>
    </row>
    <row r="17" spans="1:13" x14ac:dyDescent="0.25">
      <c r="A17" s="161" t="s">
        <v>253</v>
      </c>
      <c r="B17" s="161"/>
      <c r="C17" s="161"/>
      <c r="D17" s="161"/>
      <c r="E17" s="161"/>
      <c r="F17" s="161"/>
      <c r="G17" s="161"/>
      <c r="I17" s="36" t="s">
        <v>239</v>
      </c>
      <c r="J17" s="36" t="s">
        <v>35</v>
      </c>
      <c r="K17" s="36">
        <v>0.98399999999999999</v>
      </c>
      <c r="L17" s="63" t="s">
        <v>239</v>
      </c>
      <c r="M17" s="63">
        <v>63.012799999999999</v>
      </c>
    </row>
    <row r="18" spans="1:13" x14ac:dyDescent="0.25">
      <c r="A18" s="234" t="s">
        <v>254</v>
      </c>
      <c r="B18" s="235"/>
      <c r="C18" s="236"/>
      <c r="D18" s="80">
        <v>0.05</v>
      </c>
      <c r="E18" s="232" t="s">
        <v>255</v>
      </c>
      <c r="F18" s="232"/>
      <c r="G18" s="81">
        <f>D18*K17</f>
        <v>4.9200000000000001E-2</v>
      </c>
      <c r="I18" s="44" t="s">
        <v>241</v>
      </c>
      <c r="J18" s="44" t="s">
        <v>2</v>
      </c>
      <c r="K18" s="44">
        <v>0.72299999999999998</v>
      </c>
      <c r="L18" s="62" t="s">
        <v>35</v>
      </c>
      <c r="M18" s="62">
        <v>62.004899999999999</v>
      </c>
    </row>
    <row r="19" spans="1:13" x14ac:dyDescent="0.25">
      <c r="A19" s="234" t="s">
        <v>256</v>
      </c>
      <c r="B19" s="235"/>
      <c r="C19" s="236"/>
      <c r="D19" s="80">
        <v>0.15</v>
      </c>
      <c r="E19" s="232" t="s">
        <v>257</v>
      </c>
      <c r="F19" s="232"/>
      <c r="G19" s="81">
        <f>D19*K18</f>
        <v>0.10844999999999999</v>
      </c>
      <c r="I19" s="36" t="s">
        <v>243</v>
      </c>
      <c r="J19" s="36" t="s">
        <v>7</v>
      </c>
      <c r="K19" s="36">
        <v>0.97899999999999998</v>
      </c>
      <c r="L19" s="63" t="s">
        <v>241</v>
      </c>
      <c r="M19" s="63">
        <v>97.995199999999997</v>
      </c>
    </row>
    <row r="20" spans="1:13" x14ac:dyDescent="0.25">
      <c r="A20" s="234" t="s">
        <v>258</v>
      </c>
      <c r="B20" s="235"/>
      <c r="C20" s="236"/>
      <c r="D20" s="80">
        <v>0.375</v>
      </c>
      <c r="E20" s="232" t="s">
        <v>259</v>
      </c>
      <c r="F20" s="232"/>
      <c r="G20" s="81">
        <f>D20*K19</f>
        <v>0.36712499999999998</v>
      </c>
      <c r="H20" s="78"/>
      <c r="L20" s="62" t="s">
        <v>2</v>
      </c>
      <c r="M20" s="62">
        <v>141.94450000000001</v>
      </c>
    </row>
    <row r="21" spans="1:13" x14ac:dyDescent="0.25">
      <c r="A21" s="171" t="s">
        <v>358</v>
      </c>
      <c r="B21" s="171"/>
      <c r="C21" s="171"/>
      <c r="D21" s="171"/>
      <c r="E21" s="171"/>
      <c r="F21" s="171"/>
      <c r="G21" s="171"/>
      <c r="H21" s="78"/>
      <c r="L21" s="94" t="s">
        <v>43</v>
      </c>
      <c r="M21" s="94">
        <v>94.971400000000003</v>
      </c>
    </row>
    <row r="22" spans="1:13" x14ac:dyDescent="0.25">
      <c r="A22" s="171"/>
      <c r="B22" s="171"/>
      <c r="C22" s="171"/>
      <c r="D22" s="171"/>
      <c r="E22" s="171"/>
      <c r="F22" s="171"/>
      <c r="G22" s="171"/>
      <c r="L22" s="93" t="s">
        <v>243</v>
      </c>
      <c r="M22" s="93">
        <v>98.078500000000005</v>
      </c>
    </row>
    <row r="23" spans="1:13" x14ac:dyDescent="0.25">
      <c r="L23" s="94" t="s">
        <v>7</v>
      </c>
      <c r="M23" s="94">
        <v>96.062600000000003</v>
      </c>
    </row>
  </sheetData>
  <mergeCells count="28">
    <mergeCell ref="A1:A2"/>
    <mergeCell ref="B1:B2"/>
    <mergeCell ref="C1:C2"/>
    <mergeCell ref="D1:D2"/>
    <mergeCell ref="I6:N6"/>
    <mergeCell ref="F3:M4"/>
    <mergeCell ref="L15:M15"/>
    <mergeCell ref="I7:N10"/>
    <mergeCell ref="A8:G8"/>
    <mergeCell ref="I15:K15"/>
    <mergeCell ref="I12:M12"/>
    <mergeCell ref="I13:M13"/>
    <mergeCell ref="A15:G15"/>
    <mergeCell ref="A9:A11"/>
    <mergeCell ref="B9:B11"/>
    <mergeCell ref="C9:C11"/>
    <mergeCell ref="D9:D11"/>
    <mergeCell ref="E9:E11"/>
    <mergeCell ref="F9:F11"/>
    <mergeCell ref="G9:G11"/>
    <mergeCell ref="A21:G22"/>
    <mergeCell ref="A17:G17"/>
    <mergeCell ref="A19:C19"/>
    <mergeCell ref="E19:F19"/>
    <mergeCell ref="A20:C20"/>
    <mergeCell ref="E20:F20"/>
    <mergeCell ref="A18:C18"/>
    <mergeCell ref="E18:F18"/>
  </mergeCells>
  <phoneticPr fontId="7" type="noConversion"/>
  <hyperlinks>
    <hyperlink ref="I13" r:id="rId1" xr:uid="{F2CA3579-A8D0-4268-9712-F3FA2C094FAF}"/>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C988-8BCC-4954-A0C6-82E4BFC7C8DD}">
  <dimension ref="A1:W56"/>
  <sheetViews>
    <sheetView workbookViewId="0">
      <selection activeCell="J9" sqref="J9"/>
    </sheetView>
  </sheetViews>
  <sheetFormatPr baseColWidth="10" defaultRowHeight="15" x14ac:dyDescent="0.25"/>
  <cols>
    <col min="1" max="1" width="11.42578125" customWidth="1"/>
    <col min="3" max="3" width="6.140625" customWidth="1"/>
    <col min="4" max="4" width="4.85546875" customWidth="1"/>
    <col min="5" max="5" width="7.7109375" customWidth="1"/>
    <col min="6" max="11" width="7.140625" customWidth="1"/>
    <col min="12" max="12" width="6.85546875" customWidth="1"/>
    <col min="13" max="19" width="7.140625" customWidth="1"/>
  </cols>
  <sheetData>
    <row r="1" spans="1:23" x14ac:dyDescent="0.25">
      <c r="A1" s="166" t="s">
        <v>380</v>
      </c>
      <c r="B1" s="166"/>
      <c r="C1" s="166"/>
      <c r="D1" s="166"/>
      <c r="I1" s="150"/>
      <c r="J1" s="150"/>
    </row>
    <row r="2" spans="1:23" x14ac:dyDescent="0.25">
      <c r="A2" s="243" t="s">
        <v>378</v>
      </c>
      <c r="B2" s="244"/>
      <c r="C2" s="243" t="str">
        <f>Rechner!F28</f>
        <v>N-Gesamt</v>
      </c>
      <c r="D2" s="244"/>
      <c r="E2" s="146" t="str">
        <f>Rechner!H28</f>
        <v>P</v>
      </c>
      <c r="F2" s="146" t="str">
        <f>Rechner!I28</f>
        <v>K</v>
      </c>
      <c r="G2" s="146" t="str">
        <f>Rechner!J28</f>
        <v>Ca</v>
      </c>
      <c r="H2" s="146" t="str">
        <f>Rechner!K28</f>
        <v>Mg</v>
      </c>
      <c r="I2" s="146" t="str">
        <f>Rechner!L28</f>
        <v>Na</v>
      </c>
      <c r="J2" s="146" t="str">
        <f>Rechner!M28</f>
        <v>S</v>
      </c>
      <c r="K2" s="146" t="str">
        <f>Rechner!N28</f>
        <v>Fe</v>
      </c>
      <c r="L2" s="146" t="str">
        <f>Rechner!O28</f>
        <v>Mn</v>
      </c>
      <c r="M2" s="146" t="str">
        <f>Rechner!P28</f>
        <v>Cu</v>
      </c>
      <c r="N2" s="146" t="str">
        <f>Rechner!Q28</f>
        <v>Zn</v>
      </c>
      <c r="O2" s="146" t="str">
        <f>Rechner!R28</f>
        <v>B</v>
      </c>
      <c r="P2" s="146" t="str">
        <f>Rechner!S28</f>
        <v>Mo</v>
      </c>
      <c r="Q2" s="146" t="str">
        <f>Rechner!T28</f>
        <v>Cl</v>
      </c>
      <c r="R2" s="146" t="str">
        <f>Rechner!U28</f>
        <v>Si</v>
      </c>
      <c r="S2" s="146" t="str">
        <f>Rechner!V28</f>
        <v>C</v>
      </c>
      <c r="T2" s="240" t="s">
        <v>385</v>
      </c>
      <c r="U2" s="241"/>
      <c r="V2" s="241"/>
      <c r="W2" s="242"/>
    </row>
    <row r="3" spans="1:23" x14ac:dyDescent="0.25">
      <c r="A3" s="165" t="s">
        <v>377</v>
      </c>
      <c r="B3" s="165"/>
      <c r="C3" s="165">
        <v>92.9</v>
      </c>
      <c r="D3" s="165"/>
      <c r="E3" s="155">
        <v>17.361519999999999</v>
      </c>
      <c r="F3" s="155">
        <v>60.805799999999991</v>
      </c>
      <c r="G3" s="155">
        <v>46.846800000000002</v>
      </c>
      <c r="H3" s="155">
        <v>17.390519999999999</v>
      </c>
      <c r="I3" s="155">
        <v>6.2328000000000001</v>
      </c>
      <c r="J3" s="155">
        <v>8.3165999999999993</v>
      </c>
      <c r="K3" s="155">
        <v>0.28079999999999999</v>
      </c>
      <c r="L3" s="155">
        <v>0.14399999999999999</v>
      </c>
      <c r="M3" s="155">
        <v>7.1999999999999998E-3</v>
      </c>
      <c r="N3" s="155">
        <v>7.9199999999999993E-2</v>
      </c>
      <c r="O3" s="155">
        <v>7.9199999999999993E-2</v>
      </c>
      <c r="P3" s="155">
        <v>2.1599999999999998E-2</v>
      </c>
      <c r="Q3" s="155">
        <v>0</v>
      </c>
      <c r="R3" s="155">
        <v>0</v>
      </c>
      <c r="S3" s="155">
        <v>0</v>
      </c>
      <c r="T3" s="256" t="s">
        <v>382</v>
      </c>
      <c r="U3" s="257"/>
      <c r="V3" s="257"/>
      <c r="W3" s="258"/>
    </row>
    <row r="4" spans="1:23" x14ac:dyDescent="0.25">
      <c r="A4" s="219" t="s">
        <v>379</v>
      </c>
      <c r="B4" s="221"/>
      <c r="C4" s="165">
        <v>126.9</v>
      </c>
      <c r="D4" s="165"/>
      <c r="E4" s="155">
        <v>26.042279999999995</v>
      </c>
      <c r="F4" s="155">
        <v>91.208699999999993</v>
      </c>
      <c r="G4" s="155">
        <v>61.518599999999999</v>
      </c>
      <c r="H4" s="155">
        <v>23.480819999999998</v>
      </c>
      <c r="I4" s="155">
        <v>9.3491999999999997</v>
      </c>
      <c r="J4" s="155">
        <v>12.474899999999998</v>
      </c>
      <c r="K4" s="155">
        <v>0.42119999999999996</v>
      </c>
      <c r="L4" s="155">
        <v>0.216</v>
      </c>
      <c r="M4" s="155">
        <v>1.0799999999999999E-2</v>
      </c>
      <c r="N4" s="155">
        <v>0.11879999999999999</v>
      </c>
      <c r="O4" s="155">
        <v>0.11879999999999999</v>
      </c>
      <c r="P4" s="155">
        <v>3.2399999999999998E-2</v>
      </c>
      <c r="Q4" s="155">
        <v>0</v>
      </c>
      <c r="R4" s="155">
        <v>0</v>
      </c>
      <c r="S4" s="155">
        <v>0</v>
      </c>
      <c r="T4" s="256" t="s">
        <v>383</v>
      </c>
      <c r="U4" s="257"/>
      <c r="V4" s="257"/>
      <c r="W4" s="258"/>
    </row>
    <row r="5" spans="1:23" x14ac:dyDescent="0.25">
      <c r="A5" s="165" t="s">
        <v>381</v>
      </c>
      <c r="B5" s="165"/>
      <c r="C5" s="165">
        <v>160.9</v>
      </c>
      <c r="D5" s="165"/>
      <c r="E5" s="155">
        <v>34.723039999999997</v>
      </c>
      <c r="F5" s="155">
        <v>121.61159999999998</v>
      </c>
      <c r="G5" s="155">
        <v>76.190399999999997</v>
      </c>
      <c r="H5" s="155">
        <v>29.571119999999993</v>
      </c>
      <c r="I5" s="155">
        <v>12.4656</v>
      </c>
      <c r="J5" s="155">
        <v>16.633199999999999</v>
      </c>
      <c r="K5" s="155">
        <v>0.56159999999999999</v>
      </c>
      <c r="L5" s="155">
        <v>0.28799999999999998</v>
      </c>
      <c r="M5" s="155">
        <v>1.44E-2</v>
      </c>
      <c r="N5" s="155">
        <v>0.15839999999999999</v>
      </c>
      <c r="O5" s="155">
        <v>0.15839999999999999</v>
      </c>
      <c r="P5" s="155">
        <v>4.3199999999999995E-2</v>
      </c>
      <c r="Q5" s="155">
        <v>0</v>
      </c>
      <c r="R5" s="155">
        <v>0</v>
      </c>
      <c r="S5" s="155">
        <v>0</v>
      </c>
      <c r="T5" s="256" t="s">
        <v>384</v>
      </c>
      <c r="U5" s="257"/>
      <c r="V5" s="257"/>
      <c r="W5" s="258"/>
    </row>
    <row r="6" spans="1:23" x14ac:dyDescent="0.25">
      <c r="C6" s="151"/>
      <c r="D6" s="151"/>
    </row>
    <row r="7" spans="1:23" x14ac:dyDescent="0.25">
      <c r="A7" s="230" t="s">
        <v>409</v>
      </c>
      <c r="B7" s="230"/>
      <c r="C7" s="230"/>
      <c r="D7" s="230"/>
      <c r="E7" s="230"/>
      <c r="F7" s="230"/>
    </row>
    <row r="8" spans="1:23" x14ac:dyDescent="0.25">
      <c r="A8" s="186" t="s">
        <v>408</v>
      </c>
      <c r="B8" s="186"/>
      <c r="C8" s="186"/>
      <c r="D8" s="186"/>
      <c r="E8" s="186"/>
    </row>
    <row r="9" spans="1:23" x14ac:dyDescent="0.25">
      <c r="A9" s="165" t="s">
        <v>343</v>
      </c>
      <c r="B9" s="165"/>
      <c r="C9" s="165"/>
      <c r="D9" s="165"/>
      <c r="E9" s="155">
        <v>2</v>
      </c>
    </row>
    <row r="10" spans="1:23" x14ac:dyDescent="0.25">
      <c r="A10" s="165" t="s">
        <v>128</v>
      </c>
      <c r="B10" s="165"/>
      <c r="C10" s="165"/>
      <c r="D10" s="165"/>
      <c r="E10" s="155">
        <v>0.5</v>
      </c>
    </row>
    <row r="11" spans="1:23" x14ac:dyDescent="0.25">
      <c r="A11" s="165" t="s">
        <v>143</v>
      </c>
      <c r="B11" s="165"/>
      <c r="C11" s="165"/>
      <c r="D11" s="165"/>
      <c r="E11" s="155">
        <v>2</v>
      </c>
      <c r="G11" s="154" t="s">
        <v>111</v>
      </c>
      <c r="H11" s="154" t="s">
        <v>46</v>
      </c>
      <c r="I11" s="154" t="s">
        <v>48</v>
      </c>
      <c r="J11" s="154" t="s">
        <v>50</v>
      </c>
      <c r="K11" s="154" t="s">
        <v>52</v>
      </c>
      <c r="L11" s="154" t="s">
        <v>54</v>
      </c>
      <c r="M11" s="154" t="s">
        <v>55</v>
      </c>
      <c r="N11" s="154" t="s">
        <v>8</v>
      </c>
      <c r="O11" s="154" t="s">
        <v>9</v>
      </c>
      <c r="P11" s="154" t="s">
        <v>10</v>
      </c>
      <c r="Q11" s="154" t="s">
        <v>11</v>
      </c>
      <c r="R11" s="154" t="s">
        <v>12</v>
      </c>
      <c r="S11" s="154" t="s">
        <v>13</v>
      </c>
      <c r="T11" s="154" t="s">
        <v>14</v>
      </c>
      <c r="U11" s="154" t="s">
        <v>105</v>
      </c>
      <c r="V11" s="154" t="s">
        <v>118</v>
      </c>
    </row>
    <row r="12" spans="1:23" x14ac:dyDescent="0.25">
      <c r="A12" s="165" t="s">
        <v>140</v>
      </c>
      <c r="B12" s="165"/>
      <c r="C12" s="165"/>
      <c r="D12" s="165"/>
      <c r="E12" s="155">
        <v>0.5</v>
      </c>
      <c r="G12" s="155">
        <v>69.433199999999985</v>
      </c>
      <c r="H12" s="155">
        <v>16.539660000000001</v>
      </c>
      <c r="I12" s="155">
        <v>53.009443999999995</v>
      </c>
      <c r="J12" s="155">
        <v>52.184275</v>
      </c>
      <c r="K12" s="155">
        <v>18.510773399999998</v>
      </c>
      <c r="L12" s="155">
        <v>2.2878828000000002</v>
      </c>
      <c r="M12" s="155">
        <v>12.423464000000001</v>
      </c>
      <c r="N12" s="155">
        <v>0.56699999999999995</v>
      </c>
      <c r="O12" s="155">
        <v>0.32900000000000001</v>
      </c>
      <c r="P12" s="155">
        <v>0.16800000000000001</v>
      </c>
      <c r="Q12" s="155">
        <v>0.23874999999999999</v>
      </c>
      <c r="R12" s="155">
        <v>8.900000000000001E-2</v>
      </c>
      <c r="S12" s="155">
        <v>7.7500000000000017E-3</v>
      </c>
      <c r="T12" s="155">
        <v>3</v>
      </c>
      <c r="U12" s="155">
        <v>1.2356820000000002</v>
      </c>
      <c r="V12" s="155">
        <v>12.684546900698404</v>
      </c>
    </row>
    <row r="13" spans="1:23" x14ac:dyDescent="0.25">
      <c r="A13" s="165" t="s">
        <v>392</v>
      </c>
      <c r="B13" s="165"/>
      <c r="C13" s="165"/>
      <c r="D13" s="165"/>
      <c r="E13" s="155">
        <v>0.2</v>
      </c>
    </row>
    <row r="14" spans="1:23" x14ac:dyDescent="0.25">
      <c r="A14" s="165" t="s">
        <v>389</v>
      </c>
      <c r="B14" s="165"/>
      <c r="C14" s="165"/>
      <c r="D14" s="165"/>
      <c r="E14" s="155">
        <v>0.2</v>
      </c>
    </row>
    <row r="15" spans="1:23" x14ac:dyDescent="0.25">
      <c r="A15" s="165" t="s">
        <v>387</v>
      </c>
      <c r="B15" s="165"/>
      <c r="C15" s="165"/>
      <c r="D15" s="165"/>
      <c r="E15" s="155">
        <v>0.1</v>
      </c>
    </row>
    <row r="16" spans="1:23" x14ac:dyDescent="0.25">
      <c r="A16" s="165" t="s">
        <v>149</v>
      </c>
      <c r="B16" s="165"/>
      <c r="C16" s="165"/>
      <c r="D16" s="165"/>
      <c r="E16" s="155">
        <v>0.1</v>
      </c>
    </row>
    <row r="17" spans="1:22" x14ac:dyDescent="0.25">
      <c r="A17" s="165" t="s">
        <v>146</v>
      </c>
      <c r="B17" s="165"/>
      <c r="C17" s="165"/>
      <c r="D17" s="165"/>
      <c r="E17" s="155">
        <v>1</v>
      </c>
    </row>
    <row r="18" spans="1:22" x14ac:dyDescent="0.25">
      <c r="C18" s="252" t="s">
        <v>403</v>
      </c>
      <c r="D18" s="252"/>
      <c r="E18" s="253">
        <v>0.85</v>
      </c>
    </row>
    <row r="19" spans="1:22" x14ac:dyDescent="0.25">
      <c r="C19" s="151"/>
      <c r="D19" s="151"/>
    </row>
    <row r="20" spans="1:22" x14ac:dyDescent="0.25">
      <c r="A20" s="179" t="s">
        <v>404</v>
      </c>
      <c r="B20" s="179"/>
      <c r="C20" s="179"/>
      <c r="D20" s="179"/>
      <c r="E20" s="179"/>
    </row>
    <row r="21" spans="1:22" x14ac:dyDescent="0.25">
      <c r="A21" s="165" t="s">
        <v>343</v>
      </c>
      <c r="B21" s="165"/>
      <c r="C21" s="165"/>
      <c r="D21" s="165"/>
      <c r="E21" s="155">
        <v>3</v>
      </c>
    </row>
    <row r="22" spans="1:22" x14ac:dyDescent="0.25">
      <c r="A22" s="165" t="s">
        <v>128</v>
      </c>
      <c r="B22" s="165"/>
      <c r="C22" s="165"/>
      <c r="D22" s="165"/>
      <c r="E22" s="155">
        <v>0.5</v>
      </c>
      <c r="G22" s="154" t="s">
        <v>111</v>
      </c>
      <c r="H22" s="154" t="s">
        <v>46</v>
      </c>
      <c r="I22" s="154" t="s">
        <v>48</v>
      </c>
      <c r="J22" s="154" t="s">
        <v>50</v>
      </c>
      <c r="K22" s="154" t="s">
        <v>52</v>
      </c>
      <c r="L22" s="154" t="s">
        <v>54</v>
      </c>
      <c r="M22" s="154" t="s">
        <v>55</v>
      </c>
      <c r="N22" s="154" t="s">
        <v>8</v>
      </c>
      <c r="O22" s="154" t="s">
        <v>9</v>
      </c>
      <c r="P22" s="154" t="s">
        <v>10</v>
      </c>
      <c r="Q22" s="154" t="s">
        <v>11</v>
      </c>
      <c r="R22" s="154" t="s">
        <v>12</v>
      </c>
      <c r="S22" s="154" t="s">
        <v>13</v>
      </c>
      <c r="T22" s="154" t="s">
        <v>14</v>
      </c>
      <c r="U22" s="154" t="s">
        <v>105</v>
      </c>
      <c r="V22" s="154" t="s">
        <v>118</v>
      </c>
    </row>
    <row r="23" spans="1:22" x14ac:dyDescent="0.25">
      <c r="A23" s="165" t="s">
        <v>143</v>
      </c>
      <c r="B23" s="165"/>
      <c r="C23" s="165"/>
      <c r="D23" s="165"/>
      <c r="E23" s="155">
        <v>4</v>
      </c>
      <c r="G23" s="155">
        <v>119.78819999999999</v>
      </c>
      <c r="H23" s="155">
        <v>27.875660000000003</v>
      </c>
      <c r="I23" s="155">
        <v>100.975144</v>
      </c>
      <c r="J23" s="155">
        <v>70.774275000000003</v>
      </c>
      <c r="K23" s="155">
        <v>23.6362734</v>
      </c>
      <c r="L23" s="155">
        <v>2.1988428</v>
      </c>
      <c r="M23" s="155">
        <v>12.386724000000001</v>
      </c>
      <c r="N23" s="155">
        <v>0.61799999999999999</v>
      </c>
      <c r="O23" s="155">
        <v>0.47899999999999998</v>
      </c>
      <c r="P23" s="155">
        <v>0.23800000000000002</v>
      </c>
      <c r="Q23" s="155">
        <v>0.28125</v>
      </c>
      <c r="R23" s="155">
        <v>0.14400000000000002</v>
      </c>
      <c r="S23" s="155">
        <v>1.4250000000000002E-2</v>
      </c>
      <c r="T23" s="155">
        <v>3</v>
      </c>
      <c r="U23" s="155">
        <v>1.2356820000000002</v>
      </c>
      <c r="V23" s="155">
        <v>12.684546900698404</v>
      </c>
    </row>
    <row r="24" spans="1:22" x14ac:dyDescent="0.25">
      <c r="A24" s="165" t="s">
        <v>140</v>
      </c>
      <c r="B24" s="165"/>
      <c r="C24" s="165"/>
      <c r="D24" s="165"/>
      <c r="E24" s="155">
        <v>1</v>
      </c>
    </row>
    <row r="25" spans="1:22" x14ac:dyDescent="0.25">
      <c r="A25" s="165" t="s">
        <v>392</v>
      </c>
      <c r="B25" s="165"/>
      <c r="C25" s="165"/>
      <c r="D25" s="165"/>
      <c r="E25" s="155">
        <v>0.2</v>
      </c>
    </row>
    <row r="26" spans="1:22" x14ac:dyDescent="0.25">
      <c r="A26" s="165" t="s">
        <v>389</v>
      </c>
      <c r="B26" s="165"/>
      <c r="C26" s="165"/>
      <c r="D26" s="165"/>
      <c r="E26" s="155">
        <v>0.2</v>
      </c>
    </row>
    <row r="27" spans="1:22" x14ac:dyDescent="0.25">
      <c r="A27" s="165" t="s">
        <v>149</v>
      </c>
      <c r="B27" s="165"/>
      <c r="C27" s="165"/>
      <c r="D27" s="165"/>
      <c r="E27" s="155">
        <v>0.1</v>
      </c>
    </row>
    <row r="28" spans="1:22" x14ac:dyDescent="0.25">
      <c r="A28" s="165" t="s">
        <v>146</v>
      </c>
      <c r="B28" s="165"/>
      <c r="C28" s="165"/>
      <c r="D28" s="165"/>
      <c r="E28" s="155">
        <v>1</v>
      </c>
    </row>
    <row r="29" spans="1:22" x14ac:dyDescent="0.25">
      <c r="C29" s="254" t="s">
        <v>403</v>
      </c>
      <c r="D29" s="254"/>
      <c r="E29" s="255">
        <v>1.3</v>
      </c>
    </row>
    <row r="30" spans="1:22" x14ac:dyDescent="0.25">
      <c r="C30" s="151"/>
      <c r="D30" s="151"/>
    </row>
    <row r="31" spans="1:22" x14ac:dyDescent="0.25">
      <c r="A31" s="179" t="s">
        <v>405</v>
      </c>
      <c r="B31" s="179"/>
      <c r="C31" s="179"/>
      <c r="D31" s="179"/>
      <c r="E31" s="179"/>
    </row>
    <row r="32" spans="1:22" x14ac:dyDescent="0.25">
      <c r="A32" s="165" t="s">
        <v>343</v>
      </c>
      <c r="B32" s="165"/>
      <c r="C32" s="165"/>
      <c r="D32" s="165"/>
      <c r="E32" s="155">
        <v>3</v>
      </c>
    </row>
    <row r="33" spans="1:22" x14ac:dyDescent="0.25">
      <c r="A33" s="165" t="s">
        <v>128</v>
      </c>
      <c r="B33" s="165"/>
      <c r="C33" s="165"/>
      <c r="D33" s="165"/>
      <c r="E33" s="155">
        <v>1.5</v>
      </c>
      <c r="G33" s="154" t="s">
        <v>111</v>
      </c>
      <c r="H33" s="154" t="s">
        <v>46</v>
      </c>
      <c r="I33" s="154" t="s">
        <v>48</v>
      </c>
      <c r="J33" s="154" t="s">
        <v>50</v>
      </c>
      <c r="K33" s="154" t="s">
        <v>52</v>
      </c>
      <c r="L33" s="154" t="s">
        <v>54</v>
      </c>
      <c r="M33" s="154" t="s">
        <v>55</v>
      </c>
      <c r="N33" s="154" t="s">
        <v>8</v>
      </c>
      <c r="O33" s="154" t="s">
        <v>9</v>
      </c>
      <c r="P33" s="154" t="s">
        <v>10</v>
      </c>
      <c r="Q33" s="154" t="s">
        <v>11</v>
      </c>
      <c r="R33" s="154" t="s">
        <v>12</v>
      </c>
      <c r="S33" s="154" t="s">
        <v>13</v>
      </c>
      <c r="T33" s="154" t="s">
        <v>14</v>
      </c>
      <c r="U33" s="154" t="s">
        <v>105</v>
      </c>
      <c r="V33" s="154" t="s">
        <v>118</v>
      </c>
    </row>
    <row r="34" spans="1:22" x14ac:dyDescent="0.25">
      <c r="A34" s="165" t="s">
        <v>143</v>
      </c>
      <c r="B34" s="165"/>
      <c r="C34" s="165"/>
      <c r="D34" s="165"/>
      <c r="E34" s="155">
        <v>1</v>
      </c>
      <c r="G34" s="155">
        <v>79.288199999999989</v>
      </c>
      <c r="H34" s="155">
        <v>62.232460000000003</v>
      </c>
      <c r="I34" s="155">
        <v>123.053144</v>
      </c>
      <c r="J34" s="155">
        <v>70.774275000000003</v>
      </c>
      <c r="K34" s="155">
        <v>32.379773399999998</v>
      </c>
      <c r="L34" s="155">
        <v>2.1988428</v>
      </c>
      <c r="M34" s="155">
        <v>25.379324000000004</v>
      </c>
      <c r="N34" s="155">
        <v>0.87299999999999978</v>
      </c>
      <c r="O34" s="155">
        <v>0.47899999999999998</v>
      </c>
      <c r="P34" s="155">
        <v>0.26800000000000002</v>
      </c>
      <c r="Q34" s="155">
        <v>0.27374999999999999</v>
      </c>
      <c r="R34" s="155">
        <v>0.129</v>
      </c>
      <c r="S34" s="155">
        <v>1.1250000000000001E-2</v>
      </c>
      <c r="T34" s="155">
        <v>3</v>
      </c>
      <c r="U34" s="155">
        <v>1.2356820000000002</v>
      </c>
      <c r="V34" s="155">
        <v>12.684546900698404</v>
      </c>
    </row>
    <row r="35" spans="1:22" x14ac:dyDescent="0.25">
      <c r="A35" s="165" t="s">
        <v>140</v>
      </c>
      <c r="B35" s="165"/>
      <c r="C35" s="165"/>
      <c r="D35" s="165"/>
      <c r="E35" s="155">
        <v>2.5</v>
      </c>
    </row>
    <row r="36" spans="1:22" x14ac:dyDescent="0.25">
      <c r="A36" s="165" t="s">
        <v>392</v>
      </c>
      <c r="B36" s="165"/>
      <c r="C36" s="165"/>
      <c r="D36" s="165"/>
      <c r="E36" s="155">
        <v>0.2</v>
      </c>
    </row>
    <row r="37" spans="1:22" x14ac:dyDescent="0.25">
      <c r="A37" s="165" t="s">
        <v>389</v>
      </c>
      <c r="B37" s="165"/>
      <c r="C37" s="165"/>
      <c r="D37" s="165"/>
      <c r="E37" s="155">
        <v>0.2</v>
      </c>
    </row>
    <row r="38" spans="1:22" x14ac:dyDescent="0.25">
      <c r="A38" s="165" t="s">
        <v>144</v>
      </c>
      <c r="B38" s="165"/>
      <c r="C38" s="165"/>
      <c r="D38" s="165"/>
      <c r="E38" s="155">
        <v>1.4</v>
      </c>
    </row>
    <row r="39" spans="1:22" x14ac:dyDescent="0.25">
      <c r="A39" s="165" t="s">
        <v>149</v>
      </c>
      <c r="B39" s="165"/>
      <c r="C39" s="165"/>
      <c r="D39" s="165"/>
      <c r="E39" s="155">
        <v>0.1</v>
      </c>
    </row>
    <row r="40" spans="1:22" x14ac:dyDescent="0.25">
      <c r="A40" s="165" t="s">
        <v>146</v>
      </c>
      <c r="B40" s="165"/>
      <c r="C40" s="165"/>
      <c r="D40" s="165"/>
      <c r="E40" s="155">
        <v>1</v>
      </c>
    </row>
    <row r="41" spans="1:22" x14ac:dyDescent="0.25">
      <c r="C41" s="254" t="s">
        <v>403</v>
      </c>
      <c r="D41" s="254"/>
      <c r="E41" s="255">
        <v>1.3</v>
      </c>
    </row>
    <row r="42" spans="1:22" x14ac:dyDescent="0.25">
      <c r="C42" s="151"/>
      <c r="D42" s="151"/>
    </row>
    <row r="43" spans="1:22" x14ac:dyDescent="0.25">
      <c r="A43" s="179" t="s">
        <v>406</v>
      </c>
      <c r="B43" s="179"/>
      <c r="C43" s="179"/>
      <c r="D43" s="179"/>
      <c r="E43" s="179"/>
    </row>
    <row r="44" spans="1:22" x14ac:dyDescent="0.25">
      <c r="A44" s="165" t="s">
        <v>343</v>
      </c>
      <c r="B44" s="165"/>
      <c r="C44" s="165"/>
      <c r="D44" s="165"/>
      <c r="E44" s="155">
        <v>2</v>
      </c>
      <c r="G44" s="154" t="s">
        <v>111</v>
      </c>
      <c r="H44" s="154" t="s">
        <v>46</v>
      </c>
      <c r="I44" s="154" t="s">
        <v>48</v>
      </c>
      <c r="J44" s="154" t="s">
        <v>50</v>
      </c>
      <c r="K44" s="154" t="s">
        <v>52</v>
      </c>
      <c r="L44" s="154" t="s">
        <v>54</v>
      </c>
      <c r="M44" s="154" t="s">
        <v>55</v>
      </c>
      <c r="N44" s="154" t="s">
        <v>8</v>
      </c>
      <c r="O44" s="154" t="s">
        <v>9</v>
      </c>
      <c r="P44" s="154" t="s">
        <v>10</v>
      </c>
      <c r="Q44" s="154" t="s">
        <v>11</v>
      </c>
      <c r="R44" s="154" t="s">
        <v>12</v>
      </c>
      <c r="S44" s="154" t="s">
        <v>13</v>
      </c>
      <c r="T44" s="154" t="s">
        <v>14</v>
      </c>
      <c r="U44" s="154" t="s">
        <v>105</v>
      </c>
      <c r="V44" s="154" t="s">
        <v>118</v>
      </c>
    </row>
    <row r="45" spans="1:22" x14ac:dyDescent="0.25">
      <c r="A45" s="165" t="s">
        <v>128</v>
      </c>
      <c r="B45" s="165"/>
      <c r="C45" s="165"/>
      <c r="D45" s="165"/>
      <c r="E45" s="155">
        <v>1.5</v>
      </c>
      <c r="G45" s="155">
        <v>38.288199999999996</v>
      </c>
      <c r="H45" s="155">
        <v>59.267659999999999</v>
      </c>
      <c r="I45" s="155">
        <v>83.538504000000003</v>
      </c>
      <c r="J45" s="155">
        <v>52.184275</v>
      </c>
      <c r="K45" s="155">
        <v>25.585169399999998</v>
      </c>
      <c r="L45" s="155">
        <v>2.1988428</v>
      </c>
      <c r="M45" s="155">
        <v>25.066700000000004</v>
      </c>
      <c r="N45" s="155">
        <v>0.21</v>
      </c>
      <c r="O45" s="155">
        <v>0.1</v>
      </c>
      <c r="P45" s="155">
        <v>6.2E-2</v>
      </c>
      <c r="Q45" s="155">
        <v>2.5000000000000001E-2</v>
      </c>
      <c r="R45" s="155">
        <v>3.9999999999999994E-2</v>
      </c>
      <c r="S45" s="155">
        <v>3.0000000000000001E-3</v>
      </c>
      <c r="T45" s="155">
        <v>3</v>
      </c>
      <c r="U45" s="155">
        <v>0</v>
      </c>
      <c r="V45" s="155">
        <v>12.684546900698404</v>
      </c>
    </row>
    <row r="46" spans="1:22" x14ac:dyDescent="0.25">
      <c r="A46" s="165" t="s">
        <v>140</v>
      </c>
      <c r="B46" s="165"/>
      <c r="C46" s="165"/>
      <c r="D46" s="165"/>
      <c r="E46" s="155">
        <v>1</v>
      </c>
    </row>
    <row r="47" spans="1:22" x14ac:dyDescent="0.25">
      <c r="A47" s="165" t="s">
        <v>144</v>
      </c>
      <c r="B47" s="165"/>
      <c r="C47" s="165"/>
      <c r="D47" s="165"/>
      <c r="E47" s="155">
        <v>2</v>
      </c>
    </row>
    <row r="48" spans="1:22" x14ac:dyDescent="0.25">
      <c r="A48" s="165" t="s">
        <v>146</v>
      </c>
      <c r="B48" s="165"/>
      <c r="C48" s="165"/>
      <c r="D48" s="165"/>
      <c r="E48" s="155">
        <v>1</v>
      </c>
    </row>
    <row r="49" spans="1:22" x14ac:dyDescent="0.25">
      <c r="C49" s="254" t="s">
        <v>403</v>
      </c>
      <c r="D49" s="254"/>
      <c r="E49" s="255">
        <v>0.9</v>
      </c>
    </row>
    <row r="51" spans="1:22" x14ac:dyDescent="0.25">
      <c r="C51" s="151"/>
      <c r="D51" s="151"/>
    </row>
    <row r="52" spans="1:22" x14ac:dyDescent="0.25">
      <c r="A52" s="179" t="s">
        <v>407</v>
      </c>
      <c r="B52" s="179"/>
      <c r="C52" s="179"/>
      <c r="D52" s="179"/>
      <c r="E52" s="179"/>
    </row>
    <row r="53" spans="1:22" x14ac:dyDescent="0.25">
      <c r="A53" s="165" t="s">
        <v>128</v>
      </c>
      <c r="B53" s="165"/>
      <c r="C53" s="165"/>
      <c r="D53" s="165"/>
      <c r="E53" s="155">
        <v>0.5</v>
      </c>
      <c r="G53" s="154" t="s">
        <v>111</v>
      </c>
      <c r="H53" s="154" t="s">
        <v>46</v>
      </c>
      <c r="I53" s="154" t="s">
        <v>48</v>
      </c>
      <c r="J53" s="154" t="s">
        <v>50</v>
      </c>
      <c r="K53" s="154" t="s">
        <v>52</v>
      </c>
      <c r="L53" s="154" t="s">
        <v>54</v>
      </c>
      <c r="M53" s="154" t="s">
        <v>55</v>
      </c>
      <c r="N53" s="154" t="s">
        <v>8</v>
      </c>
      <c r="O53" s="154" t="s">
        <v>9</v>
      </c>
      <c r="P53" s="154" t="s">
        <v>10</v>
      </c>
      <c r="Q53" s="154" t="s">
        <v>11</v>
      </c>
      <c r="R53" s="154" t="s">
        <v>12</v>
      </c>
      <c r="S53" s="154" t="s">
        <v>13</v>
      </c>
      <c r="T53" s="154" t="s">
        <v>14</v>
      </c>
      <c r="U53" s="154" t="s">
        <v>105</v>
      </c>
      <c r="V53" s="154" t="s">
        <v>118</v>
      </c>
    </row>
    <row r="54" spans="1:22" x14ac:dyDescent="0.25">
      <c r="A54" s="165" t="s">
        <v>144</v>
      </c>
      <c r="B54" s="165"/>
      <c r="C54" s="165"/>
      <c r="D54" s="165"/>
      <c r="E54" s="155">
        <v>1</v>
      </c>
      <c r="G54" s="155">
        <v>1.2882</v>
      </c>
      <c r="H54" s="155">
        <v>27.875660000000003</v>
      </c>
      <c r="I54" s="155">
        <v>30.418504000000002</v>
      </c>
      <c r="J54" s="155">
        <v>15.004274999999998</v>
      </c>
      <c r="K54" s="155">
        <v>12.9221694</v>
      </c>
      <c r="L54" s="155">
        <v>2.1988428</v>
      </c>
      <c r="M54" s="155">
        <v>12.074100000000001</v>
      </c>
      <c r="N54" s="155">
        <v>0.01</v>
      </c>
      <c r="O54" s="155">
        <v>0</v>
      </c>
      <c r="P54" s="155">
        <v>2E-3</v>
      </c>
      <c r="Q54" s="155">
        <v>0</v>
      </c>
      <c r="R54" s="155">
        <v>0.01</v>
      </c>
      <c r="S54" s="155">
        <v>0</v>
      </c>
      <c r="T54" s="155">
        <v>3</v>
      </c>
      <c r="U54" s="155">
        <v>0</v>
      </c>
      <c r="V54" s="155">
        <v>12.684546900698404</v>
      </c>
    </row>
    <row r="55" spans="1:22" x14ac:dyDescent="0.25">
      <c r="A55" s="165" t="s">
        <v>146</v>
      </c>
      <c r="B55" s="165"/>
      <c r="C55" s="165"/>
      <c r="D55" s="165"/>
      <c r="E55" s="155">
        <v>1</v>
      </c>
    </row>
    <row r="56" spans="1:22" x14ac:dyDescent="0.25">
      <c r="C56" s="254" t="s">
        <v>403</v>
      </c>
      <c r="D56" s="254"/>
      <c r="E56" s="255">
        <v>0.3</v>
      </c>
    </row>
  </sheetData>
  <mergeCells count="58">
    <mergeCell ref="A7:F7"/>
    <mergeCell ref="A53:D53"/>
    <mergeCell ref="A54:D54"/>
    <mergeCell ref="A55:D55"/>
    <mergeCell ref="A52:E52"/>
    <mergeCell ref="C56:D56"/>
    <mergeCell ref="A45:D45"/>
    <mergeCell ref="A46:D46"/>
    <mergeCell ref="A48:D48"/>
    <mergeCell ref="A47:D47"/>
    <mergeCell ref="C49:D49"/>
    <mergeCell ref="A40:D40"/>
    <mergeCell ref="C41:D41"/>
    <mergeCell ref="A43:E43"/>
    <mergeCell ref="A44:D44"/>
    <mergeCell ref="A35:D35"/>
    <mergeCell ref="A36:D36"/>
    <mergeCell ref="A37:D37"/>
    <mergeCell ref="A38:D38"/>
    <mergeCell ref="A39:D39"/>
    <mergeCell ref="A31:E31"/>
    <mergeCell ref="A32:D32"/>
    <mergeCell ref="A33:D33"/>
    <mergeCell ref="A34:D34"/>
    <mergeCell ref="A25:D25"/>
    <mergeCell ref="A26:D26"/>
    <mergeCell ref="A27:D27"/>
    <mergeCell ref="A28:D28"/>
    <mergeCell ref="C29:D29"/>
    <mergeCell ref="C18:D18"/>
    <mergeCell ref="A21:D21"/>
    <mergeCell ref="A22:D22"/>
    <mergeCell ref="A23:D23"/>
    <mergeCell ref="A24:D24"/>
    <mergeCell ref="A20:E20"/>
    <mergeCell ref="A14:D14"/>
    <mergeCell ref="A15:D15"/>
    <mergeCell ref="A16:D16"/>
    <mergeCell ref="A17:D17"/>
    <mergeCell ref="A8:E8"/>
    <mergeCell ref="A9:D9"/>
    <mergeCell ref="A10:D10"/>
    <mergeCell ref="A11:D11"/>
    <mergeCell ref="A12:D12"/>
    <mergeCell ref="A13:D13"/>
    <mergeCell ref="A1:D1"/>
    <mergeCell ref="A4:B4"/>
    <mergeCell ref="A5:B5"/>
    <mergeCell ref="T2:W2"/>
    <mergeCell ref="T3:W3"/>
    <mergeCell ref="T4:W4"/>
    <mergeCell ref="T5:W5"/>
    <mergeCell ref="A2:B2"/>
    <mergeCell ref="C2:D2"/>
    <mergeCell ref="C5:D5"/>
    <mergeCell ref="A3:B3"/>
    <mergeCell ref="C3:D3"/>
    <mergeCell ref="C4:D4"/>
  </mergeCells>
  <pageMargins left="0.7" right="0.7" top="0.78740157499999996" bottom="0.78740157499999996"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C7E8-E1D3-4540-AEBB-0E459F64CD36}">
  <dimension ref="A1:M27"/>
  <sheetViews>
    <sheetView zoomScale="90" zoomScaleNormal="90" workbookViewId="0">
      <selection activeCell="A3" sqref="A3:A7"/>
    </sheetView>
  </sheetViews>
  <sheetFormatPr baseColWidth="10" defaultRowHeight="15" x14ac:dyDescent="0.25"/>
  <cols>
    <col min="1" max="1" width="13.7109375" customWidth="1"/>
  </cols>
  <sheetData>
    <row r="1" spans="1:13" ht="15" customHeight="1" x14ac:dyDescent="0.25">
      <c r="A1" s="251" t="s">
        <v>313</v>
      </c>
      <c r="B1" s="251"/>
      <c r="C1" s="251"/>
      <c r="D1" s="251"/>
      <c r="E1" s="251"/>
      <c r="F1" s="251"/>
      <c r="G1" s="251"/>
      <c r="H1" s="251"/>
      <c r="I1" s="251"/>
      <c r="J1" s="251"/>
      <c r="K1" s="251"/>
    </row>
    <row r="2" spans="1:13" ht="15" customHeight="1" x14ac:dyDescent="0.25">
      <c r="A2" s="103" t="s">
        <v>275</v>
      </c>
      <c r="B2" s="103" t="s">
        <v>276</v>
      </c>
      <c r="C2" s="103" t="s">
        <v>277</v>
      </c>
      <c r="D2" s="184" t="s">
        <v>289</v>
      </c>
      <c r="E2" s="184"/>
      <c r="F2" s="184"/>
      <c r="G2" s="184"/>
      <c r="H2" s="184"/>
      <c r="I2" s="184"/>
      <c r="J2" s="184"/>
      <c r="K2" s="184"/>
      <c r="L2" s="35"/>
      <c r="M2" s="35"/>
    </row>
    <row r="3" spans="1:13" x14ac:dyDescent="0.25">
      <c r="A3" s="245" t="s">
        <v>312</v>
      </c>
      <c r="B3" s="245" t="s">
        <v>278</v>
      </c>
      <c r="C3" s="99" t="s">
        <v>134</v>
      </c>
      <c r="D3" s="137" t="s">
        <v>308</v>
      </c>
      <c r="E3" s="98" t="s">
        <v>290</v>
      </c>
      <c r="F3" s="137" t="s">
        <v>291</v>
      </c>
      <c r="G3" s="98" t="s">
        <v>292</v>
      </c>
      <c r="H3" s="137" t="s">
        <v>293</v>
      </c>
      <c r="I3" s="98" t="s">
        <v>294</v>
      </c>
      <c r="J3" s="132"/>
      <c r="K3" s="136"/>
      <c r="L3" s="35"/>
      <c r="M3" s="35"/>
    </row>
    <row r="4" spans="1:13" ht="15" customHeight="1" x14ac:dyDescent="0.25">
      <c r="A4" s="247"/>
      <c r="B4" s="247"/>
      <c r="C4" s="99"/>
      <c r="D4" s="137" t="s">
        <v>309</v>
      </c>
      <c r="E4" s="98" t="s">
        <v>295</v>
      </c>
      <c r="F4" s="137" t="s">
        <v>296</v>
      </c>
      <c r="G4" s="98" t="s">
        <v>297</v>
      </c>
      <c r="H4" s="137" t="s">
        <v>298</v>
      </c>
      <c r="I4" s="98" t="s">
        <v>299</v>
      </c>
      <c r="J4" s="132"/>
      <c r="K4" s="136"/>
      <c r="L4" s="35"/>
      <c r="M4" s="35"/>
    </row>
    <row r="5" spans="1:13" ht="14.25" customHeight="1" x14ac:dyDescent="0.25">
      <c r="A5" s="247"/>
      <c r="B5" s="247"/>
      <c r="C5" s="100" t="s">
        <v>279</v>
      </c>
      <c r="D5" s="137" t="s">
        <v>310</v>
      </c>
      <c r="E5" s="98" t="s">
        <v>300</v>
      </c>
      <c r="F5" s="137" t="s">
        <v>301</v>
      </c>
      <c r="G5" s="98" t="s">
        <v>302</v>
      </c>
      <c r="H5" s="137" t="s">
        <v>303</v>
      </c>
      <c r="I5" s="98" t="s">
        <v>304</v>
      </c>
      <c r="J5" s="132"/>
      <c r="K5" s="136"/>
      <c r="L5" s="35"/>
      <c r="M5" s="35"/>
    </row>
    <row r="6" spans="1:13" x14ac:dyDescent="0.25">
      <c r="A6" s="247"/>
      <c r="B6" s="247"/>
      <c r="C6" s="99"/>
      <c r="D6" s="137"/>
      <c r="E6" s="98" t="s">
        <v>305</v>
      </c>
      <c r="F6" s="137"/>
      <c r="G6" s="98" t="s">
        <v>306</v>
      </c>
      <c r="H6" s="137" t="s">
        <v>307</v>
      </c>
      <c r="I6" s="98" t="s">
        <v>311</v>
      </c>
      <c r="J6" s="132"/>
      <c r="K6" s="136"/>
      <c r="L6" s="35"/>
      <c r="M6" s="35"/>
    </row>
    <row r="7" spans="1:13" ht="15" customHeight="1" x14ac:dyDescent="0.25">
      <c r="A7" s="246"/>
      <c r="B7" s="246"/>
      <c r="C7" s="100" t="s">
        <v>280</v>
      </c>
      <c r="D7" s="35"/>
      <c r="E7" s="35"/>
      <c r="F7" s="35"/>
      <c r="G7" s="35"/>
      <c r="H7" s="35"/>
      <c r="I7" s="35"/>
      <c r="J7" s="35"/>
      <c r="K7" s="35"/>
      <c r="L7" s="35"/>
      <c r="M7" s="35"/>
    </row>
    <row r="8" spans="1:13" x14ac:dyDescent="0.25">
      <c r="A8" s="248" t="s">
        <v>281</v>
      </c>
      <c r="B8" s="138" t="s">
        <v>134</v>
      </c>
      <c r="C8" s="138" t="s">
        <v>278</v>
      </c>
      <c r="L8" s="35"/>
      <c r="M8" s="35"/>
    </row>
    <row r="9" spans="1:13" ht="16.5" customHeight="1" x14ac:dyDescent="0.25">
      <c r="A9" s="249"/>
      <c r="B9" s="139"/>
      <c r="C9" s="139"/>
      <c r="D9" s="35"/>
      <c r="E9" s="132" t="s">
        <v>314</v>
      </c>
      <c r="F9" s="136" t="s">
        <v>100</v>
      </c>
      <c r="G9" s="132" t="s">
        <v>315</v>
      </c>
      <c r="H9" s="136" t="s">
        <v>100</v>
      </c>
      <c r="I9" s="35"/>
      <c r="J9" s="179" t="s">
        <v>357</v>
      </c>
      <c r="K9" s="179"/>
      <c r="L9" s="179"/>
      <c r="M9" s="179"/>
    </row>
    <row r="10" spans="1:13" x14ac:dyDescent="0.25">
      <c r="A10" s="249"/>
      <c r="B10" s="138" t="s">
        <v>279</v>
      </c>
      <c r="C10" s="138" t="s">
        <v>282</v>
      </c>
      <c r="D10" s="35"/>
      <c r="E10" s="177" t="s">
        <v>84</v>
      </c>
      <c r="F10" s="177"/>
      <c r="G10" s="177"/>
      <c r="H10" s="177"/>
      <c r="I10" s="77"/>
      <c r="J10" s="135" t="s">
        <v>354</v>
      </c>
      <c r="K10" s="135" t="s">
        <v>326</v>
      </c>
      <c r="L10" s="135" t="s">
        <v>352</v>
      </c>
      <c r="M10" s="135" t="s">
        <v>351</v>
      </c>
    </row>
    <row r="11" spans="1:13" x14ac:dyDescent="0.25">
      <c r="A11" s="249"/>
      <c r="B11" s="139"/>
      <c r="C11" s="139"/>
      <c r="D11" s="35"/>
      <c r="E11" s="132" t="s">
        <v>0</v>
      </c>
      <c r="F11" s="48">
        <v>14.0067</v>
      </c>
      <c r="G11" s="132" t="s">
        <v>1</v>
      </c>
      <c r="H11" s="133">
        <v>14.0067</v>
      </c>
      <c r="I11" s="77"/>
      <c r="J11" s="136" t="s">
        <v>349</v>
      </c>
      <c r="K11" s="133">
        <f>AVERAGE(F12,F14)</f>
        <v>39.588149999999999</v>
      </c>
      <c r="L11" s="133">
        <f>K11+F12</f>
        <v>78.686450000000008</v>
      </c>
      <c r="M11" s="133">
        <f>L11/F14</f>
        <v>1.9633327511352863</v>
      </c>
    </row>
    <row r="12" spans="1:13" x14ac:dyDescent="0.25">
      <c r="A12" s="250"/>
      <c r="B12" s="138" t="s">
        <v>280</v>
      </c>
      <c r="C12" s="139"/>
      <c r="D12" s="35"/>
      <c r="E12" s="132" t="s">
        <v>48</v>
      </c>
      <c r="F12" s="48">
        <v>39.098300000000002</v>
      </c>
      <c r="G12" s="132" t="s">
        <v>46</v>
      </c>
      <c r="H12" s="133">
        <v>30.973762000000001</v>
      </c>
      <c r="I12" s="77"/>
      <c r="J12" s="136" t="s">
        <v>350</v>
      </c>
      <c r="K12" s="134">
        <f>AVERAGE(F14,F15)</f>
        <v>32.191500000000005</v>
      </c>
      <c r="L12" s="134">
        <f>K12+F14</f>
        <v>72.269500000000008</v>
      </c>
      <c r="M12" s="136">
        <f>L12/F15</f>
        <v>2.9734416786669415</v>
      </c>
    </row>
    <row r="13" spans="1:13" x14ac:dyDescent="0.25">
      <c r="A13" s="245" t="s">
        <v>280</v>
      </c>
      <c r="B13" s="101" t="s">
        <v>134</v>
      </c>
      <c r="C13" s="245" t="s">
        <v>284</v>
      </c>
      <c r="D13" s="35"/>
      <c r="E13" s="177" t="s">
        <v>85</v>
      </c>
      <c r="F13" s="177"/>
      <c r="G13" s="177"/>
      <c r="H13" s="177"/>
      <c r="I13" s="77"/>
      <c r="J13" s="136" t="s">
        <v>353</v>
      </c>
      <c r="K13" s="133">
        <f>AVERAGE(F12,F15)</f>
        <v>31.701650000000001</v>
      </c>
      <c r="L13" s="133">
        <f>K13+F12</f>
        <v>70.799949999999995</v>
      </c>
      <c r="M13" s="136">
        <f>L13/F15</f>
        <v>2.9129788109442498</v>
      </c>
    </row>
    <row r="14" spans="1:13" x14ac:dyDescent="0.25">
      <c r="A14" s="247"/>
      <c r="B14" s="102"/>
      <c r="C14" s="247"/>
      <c r="D14" s="35"/>
      <c r="E14" s="132" t="s">
        <v>50</v>
      </c>
      <c r="F14" s="134">
        <v>40.078000000000003</v>
      </c>
      <c r="G14" s="132" t="s">
        <v>55</v>
      </c>
      <c r="H14" s="136">
        <v>32.064999999999998</v>
      </c>
      <c r="I14" s="35"/>
      <c r="J14" s="136" t="s">
        <v>355</v>
      </c>
      <c r="K14" s="133">
        <f>AVERAGE(H12,H14)</f>
        <v>31.519380999999999</v>
      </c>
      <c r="L14" s="133">
        <f>K14+H12</f>
        <v>62.493143000000003</v>
      </c>
      <c r="M14" s="136">
        <f>L14/H14</f>
        <v>1.9489519101824422</v>
      </c>
    </row>
    <row r="15" spans="1:13" x14ac:dyDescent="0.25">
      <c r="A15" s="247"/>
      <c r="B15" s="100" t="s">
        <v>279</v>
      </c>
      <c r="C15" s="247"/>
      <c r="D15" s="35"/>
      <c r="E15" s="132" t="s">
        <v>52</v>
      </c>
      <c r="F15" s="136">
        <v>24.305</v>
      </c>
      <c r="G15" s="132"/>
      <c r="H15" s="136"/>
      <c r="I15" s="35"/>
      <c r="J15" s="136" t="s">
        <v>356</v>
      </c>
      <c r="K15" s="133">
        <f>AVERAGE(H12,H11)</f>
        <v>22.490231000000001</v>
      </c>
      <c r="L15" s="133">
        <f>K15+H12</f>
        <v>53.463993000000002</v>
      </c>
      <c r="M15" s="136">
        <f>L15/H11</f>
        <v>3.8170299213947612</v>
      </c>
    </row>
    <row r="16" spans="1:13" x14ac:dyDescent="0.25">
      <c r="A16" s="247"/>
      <c r="B16" s="99"/>
      <c r="C16" s="247"/>
      <c r="D16" s="35"/>
      <c r="E16" s="132" t="s">
        <v>54</v>
      </c>
      <c r="F16" s="133">
        <v>22.989769280000001</v>
      </c>
      <c r="G16" s="132"/>
      <c r="H16" s="136"/>
      <c r="I16" s="35"/>
    </row>
    <row r="17" spans="1:13" x14ac:dyDescent="0.25">
      <c r="A17" s="246"/>
      <c r="B17" s="100" t="s">
        <v>283</v>
      </c>
      <c r="C17" s="246"/>
      <c r="D17" s="35"/>
      <c r="E17" s="177" t="s">
        <v>87</v>
      </c>
      <c r="F17" s="177"/>
      <c r="G17" s="177"/>
      <c r="H17" s="177"/>
      <c r="I17" s="35"/>
      <c r="J17" s="35"/>
      <c r="K17" s="35"/>
      <c r="L17" s="35"/>
      <c r="M17" s="35"/>
    </row>
    <row r="18" spans="1:13" x14ac:dyDescent="0.25">
      <c r="A18" s="248" t="s">
        <v>279</v>
      </c>
      <c r="B18" s="138" t="s">
        <v>134</v>
      </c>
      <c r="C18" s="248" t="s">
        <v>284</v>
      </c>
      <c r="D18" s="35"/>
      <c r="E18" s="132" t="s">
        <v>8</v>
      </c>
      <c r="F18" s="136">
        <v>55.844999999999999</v>
      </c>
      <c r="G18" s="132" t="s">
        <v>14</v>
      </c>
      <c r="H18" s="136">
        <v>35.453000000000003</v>
      </c>
      <c r="I18" s="35"/>
      <c r="J18" s="35"/>
      <c r="K18" s="35"/>
      <c r="L18" s="35"/>
      <c r="M18" s="35"/>
    </row>
    <row r="19" spans="1:13" x14ac:dyDescent="0.25">
      <c r="A19" s="249"/>
      <c r="B19" s="139"/>
      <c r="C19" s="249"/>
      <c r="D19" s="35"/>
      <c r="E19" s="132" t="s">
        <v>13</v>
      </c>
      <c r="F19" s="136">
        <v>95.96</v>
      </c>
      <c r="G19" s="132"/>
      <c r="H19" s="136"/>
      <c r="I19" s="35"/>
      <c r="J19" s="35"/>
      <c r="K19" s="35"/>
      <c r="L19" s="35"/>
      <c r="M19" s="35"/>
    </row>
    <row r="20" spans="1:13" x14ac:dyDescent="0.25">
      <c r="A20" s="249"/>
      <c r="B20" s="138" t="s">
        <v>280</v>
      </c>
      <c r="C20" s="249"/>
      <c r="D20" s="35"/>
      <c r="E20" s="132" t="s">
        <v>10</v>
      </c>
      <c r="F20" s="136">
        <v>63.545999999999999</v>
      </c>
      <c r="G20" s="132"/>
      <c r="H20" s="136"/>
      <c r="I20" s="35"/>
      <c r="J20" s="35"/>
      <c r="K20" s="35"/>
      <c r="L20" s="35"/>
      <c r="M20" s="35"/>
    </row>
    <row r="21" spans="1:13" x14ac:dyDescent="0.25">
      <c r="A21" s="249"/>
      <c r="B21" s="139"/>
      <c r="C21" s="249"/>
      <c r="D21" s="35"/>
      <c r="E21" s="132" t="s">
        <v>9</v>
      </c>
      <c r="F21" s="136">
        <v>54.938045000000002</v>
      </c>
      <c r="G21" s="132"/>
      <c r="H21" s="136"/>
      <c r="I21" s="35"/>
      <c r="J21" s="35"/>
      <c r="K21" s="35"/>
      <c r="L21" s="35"/>
      <c r="M21" s="35"/>
    </row>
    <row r="22" spans="1:13" x14ac:dyDescent="0.25">
      <c r="A22" s="250"/>
      <c r="B22" s="138" t="s">
        <v>283</v>
      </c>
      <c r="C22" s="250"/>
      <c r="D22" s="35"/>
      <c r="E22" s="132" t="s">
        <v>12</v>
      </c>
      <c r="F22" s="136">
        <v>10.811</v>
      </c>
      <c r="G22" s="132"/>
      <c r="H22" s="136"/>
      <c r="I22" s="35"/>
      <c r="J22" s="35"/>
      <c r="K22" s="35"/>
      <c r="L22" s="35"/>
      <c r="M22" s="35"/>
    </row>
    <row r="23" spans="1:13" x14ac:dyDescent="0.25">
      <c r="A23" s="245" t="s">
        <v>285</v>
      </c>
      <c r="B23" s="245" t="s">
        <v>134</v>
      </c>
      <c r="C23" s="245"/>
      <c r="D23" s="35"/>
      <c r="E23" s="132" t="s">
        <v>11</v>
      </c>
      <c r="F23" s="136">
        <v>65.38</v>
      </c>
      <c r="G23" s="132"/>
      <c r="H23" s="136"/>
      <c r="I23" s="35"/>
      <c r="J23" s="35"/>
      <c r="K23" s="35"/>
      <c r="L23" s="35"/>
      <c r="M23" s="35"/>
    </row>
    <row r="24" spans="1:13" x14ac:dyDescent="0.25">
      <c r="A24" s="246"/>
      <c r="B24" s="246"/>
      <c r="C24" s="246"/>
      <c r="D24" s="35"/>
      <c r="E24" s="132" t="s">
        <v>105</v>
      </c>
      <c r="F24" s="136">
        <v>28.0855</v>
      </c>
      <c r="G24" s="132"/>
      <c r="H24" s="136"/>
      <c r="I24" s="35"/>
      <c r="J24" s="35"/>
      <c r="K24" s="35"/>
      <c r="L24" s="35"/>
      <c r="M24" s="35"/>
    </row>
    <row r="25" spans="1:13" x14ac:dyDescent="0.25">
      <c r="A25" s="101" t="s">
        <v>286</v>
      </c>
      <c r="B25" s="100" t="s">
        <v>284</v>
      </c>
      <c r="C25" s="101" t="s">
        <v>134</v>
      </c>
      <c r="D25" s="35"/>
      <c r="I25" s="35"/>
      <c r="J25" s="35"/>
      <c r="K25" s="35"/>
      <c r="L25" s="35"/>
      <c r="M25" s="35"/>
    </row>
    <row r="26" spans="1:13" x14ac:dyDescent="0.25">
      <c r="A26" s="101" t="s">
        <v>287</v>
      </c>
      <c r="B26" s="101" t="s">
        <v>288</v>
      </c>
      <c r="C26" s="101"/>
      <c r="D26" s="35"/>
      <c r="E26" s="35"/>
      <c r="F26" s="35"/>
      <c r="G26" s="35"/>
      <c r="H26" s="35"/>
      <c r="I26" s="35"/>
      <c r="J26" s="35"/>
      <c r="K26" s="35"/>
      <c r="L26" s="35"/>
      <c r="M26" s="35"/>
    </row>
    <row r="27" spans="1:13" x14ac:dyDescent="0.25">
      <c r="D27" s="35"/>
      <c r="I27" s="35"/>
      <c r="J27" s="35"/>
      <c r="K27" s="35"/>
      <c r="L27" s="35"/>
      <c r="M27" s="35"/>
    </row>
  </sheetData>
  <mergeCells count="16">
    <mergeCell ref="A1:K1"/>
    <mergeCell ref="A3:A7"/>
    <mergeCell ref="A8:A12"/>
    <mergeCell ref="A13:A17"/>
    <mergeCell ref="A18:A22"/>
    <mergeCell ref="D2:K2"/>
    <mergeCell ref="B3:B7"/>
    <mergeCell ref="E10:H10"/>
    <mergeCell ref="E13:H13"/>
    <mergeCell ref="E17:H17"/>
    <mergeCell ref="J9:M9"/>
    <mergeCell ref="A23:A24"/>
    <mergeCell ref="B23:B24"/>
    <mergeCell ref="C23:C24"/>
    <mergeCell ref="C13:C17"/>
    <mergeCell ref="C18:C22"/>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Wasserwerte</vt:lpstr>
      <vt:lpstr>Rechner</vt:lpstr>
      <vt:lpstr>Düngertabelle</vt:lpstr>
      <vt:lpstr>Überprüfer</vt:lpstr>
      <vt:lpstr>Säuremischer</vt:lpstr>
      <vt:lpstr>Schemen</vt:lpstr>
      <vt:lpstr>Wissenswertes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Kushmuss-Rechner 4.1</dc:title>
  <dc:subject>Nährstoffe</dc:subject>
  <dc:creator>Martin; aka Kushi</dc:creator>
  <cp:keywords>https:/www.grower.ch</cp:keywords>
  <cp:lastModifiedBy>Martin</cp:lastModifiedBy>
  <dcterms:created xsi:type="dcterms:W3CDTF">2020-12-12T15:09:11Z</dcterms:created>
  <dcterms:modified xsi:type="dcterms:W3CDTF">2020-12-31T23:26:56Z</dcterms:modified>
  <cp:category>Nährstoffrechner</cp:category>
  <cp:version>4.1</cp:version>
</cp:coreProperties>
</file>